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Questa_cartella_di_lavoro" defaultThemeVersion="166925"/>
  <mc:AlternateContent xmlns:mc="http://schemas.openxmlformats.org/markup-compatibility/2006">
    <mc:Choice Requires="x15">
      <x15ac:absPath xmlns:x15ac="http://schemas.microsoft.com/office/spreadsheetml/2010/11/ac" url="C:\Users\Roberto\Downloads\"/>
    </mc:Choice>
  </mc:AlternateContent>
  <xr:revisionPtr revIDLastSave="0" documentId="13_ncr:1_{52CCA71B-2D5E-4E24-BFC4-B739CDB4F97C}" xr6:coauthVersionLast="47" xr6:coauthVersionMax="47" xr10:uidLastSave="{00000000-0000-0000-0000-000000000000}"/>
  <workbookProtection workbookAlgorithmName="SHA-512" workbookHashValue="tCE1PRtNTCt77d3NZxm70XFbdTRaiY+0aP1sQjjusYb7XAVPWEVer0rQGcaNFJZsDAitt8QXO/VysZi9cJdNsQ==" workbookSaltValue="i2K7JJYbVijIjKBiaJNVgQ==" workbookSpinCount="100000" lockStructure="1"/>
  <bookViews>
    <workbookView xWindow="-120" yWindow="-120" windowWidth="29040" windowHeight="15720" xr2:uid="{07E6C17B-8EF1-4FD0-A1C9-09AFC5EDCE67}"/>
  </bookViews>
  <sheets>
    <sheet name="Dati" sheetId="2" r:id="rId1"/>
  </sheets>
  <definedNames>
    <definedName name="aggiuntiva">Dati!$C$123</definedName>
    <definedName name="Base_1">Dati!$E$115</definedName>
    <definedName name="Base_2">Dati!$E$116</definedName>
    <definedName name="Detr.min.">Dati!$G$115</definedName>
    <definedName name="Fascia_1">Dati!$C$115</definedName>
    <definedName name="Fascia_2">Dati!$C$116</definedName>
    <definedName name="Fascia_3">Dati!$C$117</definedName>
    <definedName name="giorni">Dati!$C$119</definedName>
    <definedName name="max._agg.">Dati!$C$122</definedName>
    <definedName name="min._agg.">Dati!$C$121</definedName>
    <definedName name="Molt._Fascia_2">Dati!$G$117</definedName>
    <definedName name="Progressivo">Dati!$E$117</definedName>
    <definedName name="Reddito_min.">Dati!$G$116</definedName>
    <definedName name="Reddito_pensionati">Dati!$C$114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2" l="1"/>
  <c r="K40" i="2"/>
  <c r="K38" i="2"/>
  <c r="D147" i="2"/>
  <c r="E145" i="2"/>
  <c r="E144" i="2"/>
  <c r="E143" i="2"/>
  <c r="E142" i="2"/>
  <c r="E141" i="2"/>
  <c r="E140" i="2"/>
  <c r="E139" i="2"/>
  <c r="E138" i="2"/>
  <c r="E137" i="2"/>
  <c r="E136" i="2"/>
  <c r="E135" i="2"/>
  <c r="B2" i="2" l="1"/>
  <c r="D55" i="2"/>
  <c r="N55" i="2" s="1"/>
  <c r="D67" i="2"/>
  <c r="N67" i="2" s="1"/>
  <c r="H34" i="2"/>
  <c r="C102" i="2"/>
  <c r="C99" i="2"/>
  <c r="C105" i="2" s="1"/>
  <c r="C98" i="2"/>
  <c r="D74" i="2"/>
  <c r="T71" i="2"/>
  <c r="O71" i="2"/>
  <c r="D71" i="2"/>
  <c r="T70" i="2"/>
  <c r="S71" i="2" s="1"/>
  <c r="O70" i="2"/>
  <c r="N71" i="2" s="1"/>
  <c r="J70" i="2"/>
  <c r="I71" i="2" s="1"/>
  <c r="D70" i="2"/>
  <c r="T69" i="2"/>
  <c r="S70" i="2" s="1"/>
  <c r="O69" i="2"/>
  <c r="N70" i="2" s="1"/>
  <c r="J69" i="2"/>
  <c r="I70" i="2" s="1"/>
  <c r="T59" i="2"/>
  <c r="O59" i="2"/>
  <c r="D59" i="2"/>
  <c r="T58" i="2"/>
  <c r="S59" i="2" s="1"/>
  <c r="O58" i="2"/>
  <c r="N59" i="2" s="1"/>
  <c r="J58" i="2"/>
  <c r="I59" i="2" s="1"/>
  <c r="D58" i="2"/>
  <c r="T57" i="2"/>
  <c r="S58" i="2" s="1"/>
  <c r="O57" i="2"/>
  <c r="N58" i="2" s="1"/>
  <c r="J57" i="2"/>
  <c r="I58" i="2" s="1"/>
  <c r="Y42" i="2"/>
  <c r="L42" i="2"/>
  <c r="AB40" i="2"/>
  <c r="L40" i="2"/>
  <c r="L38" i="2"/>
  <c r="C38" i="2"/>
  <c r="U35" i="2"/>
  <c r="U34" i="2"/>
  <c r="AB32" i="2"/>
  <c r="A16" i="2" l="1"/>
  <c r="A14" i="2"/>
  <c r="G57" i="2"/>
  <c r="G70" i="2"/>
  <c r="G71" i="2"/>
  <c r="Q71" i="2"/>
  <c r="G58" i="2"/>
  <c r="G69" i="2"/>
  <c r="D81" i="2"/>
  <c r="G59" i="2"/>
  <c r="Q58" i="2"/>
  <c r="Q59" i="2"/>
  <c r="Q57" i="2"/>
  <c r="Q70" i="2"/>
  <c r="I67" i="2"/>
  <c r="Q69" i="2"/>
  <c r="I55" i="2"/>
  <c r="L59" i="2" s="1"/>
  <c r="G38" i="2"/>
  <c r="M38" i="2" s="1"/>
  <c r="G40" i="2"/>
  <c r="G42" i="2"/>
  <c r="G73" i="2" l="1"/>
  <c r="Q62" i="2"/>
  <c r="I81" i="2" s="1"/>
  <c r="G62" i="2"/>
  <c r="G44" i="2"/>
  <c r="L58" i="2"/>
  <c r="L57" i="2"/>
  <c r="Q73" i="2"/>
  <c r="L70" i="2"/>
  <c r="L69" i="2"/>
  <c r="L71" i="2"/>
  <c r="M42" i="2"/>
  <c r="P42" i="2" s="1"/>
  <c r="M40" i="2"/>
  <c r="P38" i="2"/>
  <c r="A4" i="2"/>
  <c r="B4" i="2" s="1"/>
  <c r="Q64" i="2" l="1"/>
  <c r="L62" i="2"/>
  <c r="L73" i="2"/>
  <c r="M44" i="2"/>
  <c r="P40" i="2"/>
  <c r="L44" i="2" l="1"/>
  <c r="D83" i="2"/>
  <c r="D85" i="2" s="1"/>
  <c r="B5" i="2"/>
  <c r="B6" i="2" s="1"/>
  <c r="P44" i="2"/>
  <c r="C114" i="2" l="1"/>
  <c r="C126" i="2" s="1" a="1"/>
  <c r="C126" i="2" s="1"/>
  <c r="F134" i="2" s="1"/>
  <c r="E147" i="2" s="1"/>
  <c r="G134" i="2" s="1"/>
  <c r="B8" i="2" s="1"/>
  <c r="B9" i="2" s="1"/>
  <c r="S55" i="2"/>
  <c r="S67" i="2"/>
  <c r="G135" i="2" l="1"/>
  <c r="G143" i="2"/>
  <c r="G137" i="2"/>
  <c r="G145" i="2"/>
  <c r="C128" i="2" s="1"/>
  <c r="G136" i="2"/>
  <c r="G138" i="2"/>
  <c r="G140" i="2"/>
  <c r="G141" i="2"/>
  <c r="G142" i="2"/>
  <c r="G139" i="2"/>
  <c r="G144" i="2"/>
  <c r="V58" i="2"/>
  <c r="V57" i="2"/>
  <c r="V59" i="2"/>
  <c r="V71" i="2"/>
  <c r="V70" i="2"/>
  <c r="V69" i="2"/>
  <c r="V62" i="2" l="1"/>
  <c r="G85" i="2" s="1"/>
  <c r="V73" i="2"/>
  <c r="D92" i="2" l="1"/>
  <c r="B7" i="2" s="1"/>
  <c r="I85" i="2"/>
  <c r="B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3" authorId="0" shapeId="0" xr:uid="{7AAB26BE-0737-47E7-89ED-060037A07EFE}">
      <text>
        <r>
          <rPr>
            <b/>
            <sz val="9"/>
            <color indexed="81"/>
            <rFont val="Tahoma"/>
            <family val="2"/>
          </rPr>
          <t>Selezionare se si intende inserire l'importo annuo o quello mensile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<sst xmlns="http://schemas.openxmlformats.org/spreadsheetml/2006/main" count="116" uniqueCount="102">
  <si>
    <t>IRPEF</t>
  </si>
  <si>
    <t>Aumento mensile lordo</t>
  </si>
  <si>
    <t>Data fine utilizzo</t>
  </si>
  <si>
    <t>reddito annuale / mensile</t>
  </si>
  <si>
    <t>13 mensilità</t>
  </si>
  <si>
    <t>minimo:</t>
  </si>
  <si>
    <t>4 volte</t>
  </si>
  <si>
    <t>5 volte</t>
  </si>
  <si>
    <t>Rivalutazione</t>
  </si>
  <si>
    <t>Importo rivalutato</t>
  </si>
  <si>
    <t>Importo dell'assegno oltre 4 e fino a 5 volte il trattamento minimo</t>
  </si>
  <si>
    <t>Importo dell'assegno oltre 5 volte il trattamento minimo</t>
  </si>
  <si>
    <t>TOTALE</t>
  </si>
  <si>
    <t>Annuale</t>
  </si>
  <si>
    <t xml:space="preserve"> Irpef</t>
  </si>
  <si>
    <t>tot</t>
  </si>
  <si>
    <t>12 mensilità</t>
  </si>
  <si>
    <t>elenco a discesa</t>
  </si>
  <si>
    <t>cod. 1</t>
  </si>
  <si>
    <t>cod. 2</t>
  </si>
  <si>
    <t>IRPEF su pensione mensile + perequazione</t>
  </si>
  <si>
    <t>IRPEFsu perequazione</t>
  </si>
  <si>
    <t>netto</t>
  </si>
  <si>
    <t>SU 13 mensilità</t>
  </si>
  <si>
    <t>Pensione mensile + perequazione netta</t>
  </si>
  <si>
    <t>IRPEF su aumento</t>
  </si>
  <si>
    <t>Trattamento Minimo x 4</t>
  </si>
  <si>
    <t>Trattamento Minimo x 5</t>
  </si>
  <si>
    <t xml:space="preserve">ADEGUAMENTO PENSIONI 2025 SIMULAZIONE CON SOLO 3 SCAGLIONI </t>
  </si>
  <si>
    <t>Versione mia del 19.10.2024</t>
  </si>
  <si>
    <t xml:space="preserve">Il trattamento minimo di riferimento 2024 (PROVVISORIO esclusoeventuale aggiornamento definitivo) è stato pari a </t>
  </si>
  <si>
    <t>Importo dell'assegno mensile nel 2024</t>
  </si>
  <si>
    <t>Tasso di rivalutazione provvisorio 2024 per il 2025</t>
  </si>
  <si>
    <t>= DIVISO 12 DAL CALCOLO ANNUALE</t>
  </si>
  <si>
    <t>Reddito imponibile MENSILE</t>
  </si>
  <si>
    <t>Reddito imponibile mensile</t>
  </si>
  <si>
    <t>/ 12</t>
  </si>
  <si>
    <t>/ 13</t>
  </si>
  <si>
    <t>Calcolo perequazione pensioni 2025</t>
  </si>
  <si>
    <t>Rivalutazione effettiva applicata</t>
  </si>
  <si>
    <t>IRPEF 2024 e 2025</t>
  </si>
  <si>
    <t>Reddito Annuo Lordo</t>
  </si>
  <si>
    <t xml:space="preserve">Casella da valorizzare </t>
  </si>
  <si>
    <t>Perequzione 2025</t>
  </si>
  <si>
    <t>Nuova pensione 2025</t>
  </si>
  <si>
    <t>Pensione mensile 2024  (13 mens.)</t>
  </si>
  <si>
    <t>IRPEF su 13 mensilità 2024</t>
  </si>
  <si>
    <t>Reddito imponibile annuale 2024</t>
  </si>
  <si>
    <t>= DIVISO 13 DAL CALCOLO ANNUALE 2024</t>
  </si>
  <si>
    <t>NUOVA PENSIONE 2025 (13 MENSILITÀ)</t>
  </si>
  <si>
    <t>Pensione mensile + perequazione LORDE</t>
  </si>
  <si>
    <t>Importo annuo lordo (anno precedente)</t>
  </si>
  <si>
    <t>Importo mensile lordo (anno precedente)</t>
  </si>
  <si>
    <t>T.M. 2024 quasi certo</t>
  </si>
  <si>
    <t xml:space="preserve"> (598,61+598,61×2,7% = 614,77)</t>
  </si>
  <si>
    <t>T.M. 2025 provv. (?)</t>
  </si>
  <si>
    <t>da 614,77 a 617,90 ?????</t>
  </si>
  <si>
    <t>Importo mensile lordo aggiornato</t>
  </si>
  <si>
    <t>Trattamento Minimo</t>
  </si>
  <si>
    <t>Realizzato da Roberto Spadino</t>
  </si>
  <si>
    <t>oggi</t>
  </si>
  <si>
    <t>Data scadenza</t>
  </si>
  <si>
    <t>Cella B3: Inserire il reddito lordo annuale o mensile (13 mensilità)</t>
  </si>
  <si>
    <t>v. 4/2024</t>
  </si>
  <si>
    <t>Verificare che l'importo corrisponda a quello annuale o mensile (13 mensilità)</t>
  </si>
  <si>
    <t>Utilizzabile fino al 15 gennaio 2025</t>
  </si>
  <si>
    <t xml:space="preserve"> x PENSIONE</t>
  </si>
  <si>
    <t>Reddito pensionati</t>
  </si>
  <si>
    <t>Fascia 1</t>
  </si>
  <si>
    <t>Base 1</t>
  </si>
  <si>
    <t>Detr.min.</t>
  </si>
  <si>
    <t>Fascia 2</t>
  </si>
  <si>
    <t>Base 2</t>
  </si>
  <si>
    <t>Reddito min.</t>
  </si>
  <si>
    <t>Fascia 3</t>
  </si>
  <si>
    <t>Progressivo</t>
  </si>
  <si>
    <t>Molt. Fascia 2</t>
  </si>
  <si>
    <t>giorni</t>
  </si>
  <si>
    <t>min. agg.</t>
  </si>
  <si>
    <t>max. agg.</t>
  </si>
  <si>
    <t>aggiuntiva</t>
  </si>
  <si>
    <t>Calcolo detrazione ANNUALE</t>
  </si>
  <si>
    <t>Detrazione riferita a mese specifico</t>
  </si>
  <si>
    <t>Detrazione reddito da pensione anno 2007</t>
  </si>
  <si>
    <t>Gennaio</t>
  </si>
  <si>
    <t>Febbraio</t>
  </si>
  <si>
    <t>Marzo</t>
  </si>
  <si>
    <t>Aprile</t>
  </si>
  <si>
    <t>Maggio</t>
  </si>
  <si>
    <t>Giugno</t>
  </si>
  <si>
    <t>Luglio</t>
  </si>
  <si>
    <t>Agosto</t>
  </si>
  <si>
    <t>Settembre</t>
  </si>
  <si>
    <t>Ottobre</t>
  </si>
  <si>
    <t>Novembre</t>
  </si>
  <si>
    <t>Dicembre</t>
  </si>
  <si>
    <t>Detrazione reddito da pensione di gennaio 2025</t>
  </si>
  <si>
    <t>Importo netto (aggiungere altre eventuali detrazioni alle quali si ha titolo, sottrarre le addizionali comunali e regionali nei mesi previsti ed altre eventuali ritenute)</t>
  </si>
  <si>
    <t>Pensione mensile + perequazione netta + detrazione</t>
  </si>
  <si>
    <t>Trattamento Minimo provvisorio 2024 x 2025</t>
  </si>
  <si>
    <t>Cella A3: selezionare da elenco a discesa importo annuale o mensile</t>
  </si>
  <si>
    <t>Importo mensile lordo con aumento perequazione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</si>
</sst>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0.00\ &quot;€&quot;"/>
    <numFmt numFmtId="165" formatCode="_-* #,##0.00\ [$€-410]_-;\-* #,##0.00\ [$€-410]_-;_-* &quot;-&quot;??\ [$€-410]_-;_-@_-"/>
    <numFmt numFmtId="166" formatCode="0.0%"/>
    <numFmt numFmtId="167" formatCode="_-* #,##0.00\ _€_-;\-* #,##0.00\ _€_-;_-* &quot;-&quot;??\ _€_-;_-@_-"/>
    <numFmt numFmtId="168" formatCode="_-&quot;€&quot;\ * #,##0.00_-;\-&quot;€&quot;\ * #,##0.00_-;_-&quot;€&quot;\ * &quot;-&quot;??_-;_-@_-"/>
    <numFmt numFmtId="169" formatCode="_-[$€-410]\ * #,##0_-;\-[$€-410]\ * #,##0_-;_-[$€-410]\ * &quot;-&quot;??_-;_-@_-"/>
    <numFmt numFmtId="170" formatCode="_-&quot;L.&quot;\ * #,##0.00_-;\-&quot;L.&quot;\ * #,##0.00_-;_-&quot;L.&quot;\ * &quot;-&quot;??_-;_-@_-"/>
    <numFmt numFmtId="171" formatCode="_-[$€-410]\ * #,##0.00_-;\-[$€-410]\ * #,##0.00_-;_-[$€-410]\ * &quot;-&quot;??_-;_-@_-"/>
    <numFmt numFmtId="172" formatCode="_-&quot;€&quot;\ * #,##0_-;\-&quot;€&quot;\ * #,##0_-;_-&quot;€&quot;\ * &quot;-&quot;??_-;_-@_-"/>
    <numFmt numFmtId="173" formatCode="_-* #,##0\ [$€-410]_-;\-* #,##0\ [$€-410]_-;_-* &quot;-&quot;\ [$€-410]_-;_-@_-"/>
    <numFmt numFmtId="174" formatCode="&quot;€&quot;\ #,##0.00"/>
  </numFmts>
  <fonts count="37" x14ac:knownFonts="1">
    <font>
      <sz val="11"/>
      <color theme="1"/>
      <name val="Calibri"/>
      <family val="2"/>
      <scheme val="minor"/>
    </font>
    <font>
      <sz val="11"/>
      <color theme="1"/>
      <name val="Calibri"/>
      <family val="2"/>
      <scheme val="minor"/>
    </font>
    <font>
      <b/>
      <sz val="22"/>
      <color theme="1"/>
      <name val="Times New Roman"/>
      <family val="1"/>
    </font>
    <font>
      <sz val="9"/>
      <color indexed="81"/>
      <name val="Tahoma"/>
      <family val="2"/>
    </font>
    <font>
      <b/>
      <sz val="9"/>
      <color indexed="81"/>
      <name val="Tahoma"/>
      <family val="2"/>
    </font>
    <font>
      <i/>
      <sz val="11"/>
      <color theme="1"/>
      <name val="Calibri"/>
      <family val="2"/>
      <scheme val="minor"/>
    </font>
    <font>
      <sz val="10"/>
      <name val="Arial"/>
      <family val="2"/>
    </font>
    <font>
      <b/>
      <sz val="16"/>
      <color rgb="FFFF0000"/>
      <name val="Calibri"/>
      <family val="2"/>
      <scheme val="minor"/>
    </font>
    <font>
      <b/>
      <sz val="22"/>
      <name val="Times New Roman"/>
      <family val="1"/>
    </font>
    <font>
      <sz val="16"/>
      <color theme="1"/>
      <name val="Times New Roman"/>
      <family val="1"/>
    </font>
    <font>
      <b/>
      <sz val="24"/>
      <color theme="0"/>
      <name val="Times New Roman"/>
      <family val="1"/>
    </font>
    <font>
      <b/>
      <sz val="20"/>
      <color theme="0"/>
      <name val="Times New Roman"/>
      <family val="1"/>
    </font>
    <font>
      <b/>
      <sz val="26"/>
      <name val="Times New Roman"/>
      <family val="1"/>
    </font>
    <font>
      <i/>
      <sz val="12"/>
      <color rgb="FF0070C0"/>
      <name val="Calibri"/>
      <family val="2"/>
      <scheme val="minor"/>
    </font>
    <font>
      <sz val="11"/>
      <color theme="0" tint="-0.14999847407452621"/>
      <name val="Calibri"/>
      <family val="2"/>
      <scheme val="minor"/>
    </font>
    <font>
      <sz val="11"/>
      <color theme="0" tint="-0.14999847407452621"/>
      <name val="Calibri"/>
      <family val="2"/>
    </font>
    <font>
      <sz val="12"/>
      <color theme="0" tint="-0.14999847407452621"/>
      <name val="Barlow Condensed"/>
    </font>
    <font>
      <b/>
      <sz val="14"/>
      <color theme="0" tint="-0.14999847407452621"/>
      <name val="Calibri"/>
      <family val="2"/>
      <scheme val="minor"/>
    </font>
    <font>
      <i/>
      <sz val="9"/>
      <color theme="0" tint="-0.14999847407452621"/>
      <name val="Calibri"/>
      <family val="2"/>
      <scheme val="minor"/>
    </font>
    <font>
      <b/>
      <sz val="11"/>
      <color theme="0" tint="-0.14999847407452621"/>
      <name val="Calibri"/>
      <family val="2"/>
      <scheme val="minor"/>
    </font>
    <font>
      <b/>
      <sz val="20"/>
      <color theme="0" tint="-0.14999847407452621"/>
      <name val="Wingdings 2"/>
      <family val="1"/>
      <charset val="2"/>
    </font>
    <font>
      <i/>
      <sz val="11"/>
      <color theme="0" tint="-0.14999847407452621"/>
      <name val="Calibri"/>
      <family val="2"/>
      <scheme val="minor"/>
    </font>
    <font>
      <sz val="9"/>
      <color theme="0" tint="-0.14999847407452621"/>
      <name val="Calibri"/>
      <family val="2"/>
      <scheme val="minor"/>
    </font>
    <font>
      <sz val="11"/>
      <color theme="0" tint="-0.14999847407452621"/>
      <name val="Arial"/>
      <family val="2"/>
    </font>
    <font>
      <sz val="10"/>
      <color theme="0" tint="-0.14999847407452621"/>
      <name val="Calibri"/>
      <family val="2"/>
      <scheme val="minor"/>
    </font>
    <font>
      <sz val="10"/>
      <color theme="0" tint="-0.14999847407452621"/>
      <name val="Arial"/>
      <family val="2"/>
    </font>
    <font>
      <b/>
      <sz val="10"/>
      <color theme="0" tint="-0.14999847407452621"/>
      <name val="Arial"/>
      <family val="2"/>
    </font>
    <font>
      <sz val="12"/>
      <color theme="0" tint="-0.14999847407452621"/>
      <name val="Arial"/>
      <family val="2"/>
    </font>
    <font>
      <sz val="12"/>
      <color theme="0" tint="-0.14999847407452621"/>
      <name val="Calibri"/>
      <family val="2"/>
    </font>
    <font>
      <b/>
      <sz val="16"/>
      <color theme="0" tint="-0.14999847407452621"/>
      <name val="Calibri"/>
      <family val="2"/>
      <scheme val="minor"/>
    </font>
    <font>
      <b/>
      <sz val="12"/>
      <color theme="0" tint="-0.14999847407452621"/>
      <name val="Calibri"/>
      <family val="2"/>
      <scheme val="minor"/>
    </font>
    <font>
      <sz val="9"/>
      <color theme="0" tint="-0.14999847407452621"/>
      <name val="Verdana"/>
      <family val="2"/>
    </font>
    <font>
      <sz val="7"/>
      <color theme="0" tint="-0.14999847407452621"/>
      <name val="Arial"/>
      <family val="2"/>
    </font>
    <font>
      <b/>
      <sz val="8"/>
      <color theme="0" tint="-0.14999847407452621"/>
      <name val="Arial"/>
      <family val="2"/>
    </font>
    <font>
      <sz val="8"/>
      <color theme="0" tint="-0.14999847407452621"/>
      <name val="Arial"/>
      <family val="2"/>
    </font>
    <font>
      <b/>
      <sz val="11"/>
      <color rgb="FFFF0000"/>
      <name val="Calibri"/>
      <family val="2"/>
      <scheme val="minor"/>
    </font>
    <font>
      <sz val="14"/>
      <color theme="0" tint="-0.1499984740745262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tint="-0.499984740745262"/>
        <bgColor indexed="64"/>
      </patternFill>
    </fill>
  </fills>
  <borders count="11">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thin">
        <color indexed="64"/>
      </bottom>
      <diagonal/>
    </border>
    <border>
      <left style="thin">
        <color indexed="64"/>
      </left>
      <right style="medium">
        <color theme="0"/>
      </right>
      <top/>
      <bottom style="thin">
        <color indexed="64"/>
      </bottom>
      <diagonal/>
    </border>
    <border>
      <left style="thin">
        <color indexed="64"/>
      </left>
      <right style="medium">
        <color theme="0"/>
      </right>
      <top style="thin">
        <color indexed="64"/>
      </top>
      <bottom style="thin">
        <color indexed="64"/>
      </bottom>
      <diagonal/>
    </border>
    <border>
      <left style="medium">
        <color theme="0"/>
      </left>
      <right/>
      <top style="thin">
        <color indexed="64"/>
      </top>
      <bottom style="thin">
        <color indexed="64"/>
      </bottom>
      <diagonal/>
    </border>
    <border>
      <left style="medium">
        <color theme="0"/>
      </left>
      <right/>
      <top style="thin">
        <color indexed="64"/>
      </top>
      <bottom/>
      <diagonal/>
    </border>
    <border>
      <left style="thin">
        <color indexed="64"/>
      </left>
      <right style="medium">
        <color theme="0"/>
      </right>
      <top style="thin">
        <color indexed="64"/>
      </top>
      <bottom/>
      <diagonal/>
    </border>
    <border>
      <left style="thin">
        <color theme="0"/>
      </left>
      <right style="thin">
        <color theme="0"/>
      </right>
      <top style="thin">
        <color theme="0"/>
      </top>
      <bottom style="thin">
        <color theme="0"/>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6" fillId="0" borderId="0"/>
  </cellStyleXfs>
  <cellXfs count="111">
    <xf numFmtId="0" fontId="0" fillId="0" borderId="0" xfId="0"/>
    <xf numFmtId="0" fontId="5" fillId="2" borderId="0" xfId="0" applyFont="1" applyFill="1" applyAlignment="1" applyProtection="1">
      <alignment horizontal="right"/>
      <protection hidden="1"/>
    </xf>
    <xf numFmtId="0" fontId="9" fillId="3" borderId="4" xfId="0" applyFont="1" applyFill="1" applyBorder="1" applyAlignment="1" applyProtection="1">
      <alignment vertical="center"/>
      <protection locked="0" hidden="1"/>
    </xf>
    <xf numFmtId="0" fontId="9" fillId="4" borderId="7" xfId="0" applyFont="1" applyFill="1" applyBorder="1" applyAlignment="1" applyProtection="1">
      <alignment vertical="center"/>
      <protection hidden="1"/>
    </xf>
    <xf numFmtId="164" fontId="8" fillId="4" borderId="6" xfId="1" applyNumberFormat="1" applyFont="1" applyFill="1" applyBorder="1" applyAlignment="1" applyProtection="1">
      <alignment horizontal="center" vertical="center"/>
      <protection hidden="1"/>
    </xf>
    <xf numFmtId="0" fontId="9" fillId="4" borderId="8" xfId="0" applyFont="1" applyFill="1" applyBorder="1" applyAlignment="1" applyProtection="1">
      <alignment vertical="center"/>
      <protection hidden="1"/>
    </xf>
    <xf numFmtId="0" fontId="11" fillId="6" borderId="1" xfId="0" applyFont="1" applyFill="1" applyBorder="1" applyAlignment="1" applyProtection="1">
      <alignment horizontal="right" vertical="center" wrapText="1"/>
      <protection hidden="1"/>
    </xf>
    <xf numFmtId="166" fontId="11" fillId="6" borderId="1" xfId="2"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protection hidden="1"/>
    </xf>
    <xf numFmtId="0" fontId="0" fillId="2" borderId="0" xfId="0" applyFill="1" applyProtection="1">
      <protection hidden="1"/>
    </xf>
    <xf numFmtId="164" fontId="12" fillId="3" borderId="9" xfId="1" applyNumberFormat="1" applyFont="1" applyFill="1" applyBorder="1" applyAlignment="1" applyProtection="1">
      <alignment horizontal="center" vertical="center"/>
      <protection hidden="1"/>
    </xf>
    <xf numFmtId="0" fontId="9" fillId="5" borderId="8" xfId="0" applyFont="1" applyFill="1" applyBorder="1" applyAlignment="1" applyProtection="1">
      <alignment vertical="center" wrapText="1"/>
      <protection hidden="1"/>
    </xf>
    <xf numFmtId="0" fontId="13" fillId="2" borderId="8" xfId="0" applyFont="1" applyFill="1" applyBorder="1" applyProtection="1">
      <protection hidden="1"/>
    </xf>
    <xf numFmtId="0" fontId="13" fillId="2" borderId="10" xfId="0" applyFont="1" applyFill="1" applyBorder="1" applyProtection="1">
      <protection hidden="1"/>
    </xf>
    <xf numFmtId="0" fontId="13" fillId="2" borderId="0" xfId="0" applyFont="1" applyFill="1" applyProtection="1">
      <protection hidden="1"/>
    </xf>
    <xf numFmtId="0" fontId="15" fillId="2" borderId="0" xfId="0" applyFont="1" applyFill="1" applyAlignment="1" applyProtection="1">
      <alignment wrapText="1"/>
      <protection hidden="1"/>
    </xf>
    <xf numFmtId="0" fontId="14" fillId="2" borderId="0" xfId="0" applyFont="1" applyFill="1" applyAlignment="1" applyProtection="1">
      <alignment wrapText="1"/>
      <protection hidden="1"/>
    </xf>
    <xf numFmtId="0" fontId="14" fillId="2" borderId="0" xfId="0" applyFont="1" applyFill="1" applyProtection="1">
      <protection hidden="1"/>
    </xf>
    <xf numFmtId="164" fontId="14" fillId="2" borderId="0" xfId="1" applyNumberFormat="1" applyFont="1" applyFill="1" applyBorder="1" applyProtection="1">
      <protection hidden="1"/>
    </xf>
    <xf numFmtId="0" fontId="34" fillId="2" borderId="0" xfId="13" applyFont="1" applyFill="1" applyProtection="1">
      <protection hidden="1"/>
    </xf>
    <xf numFmtId="1" fontId="34" fillId="2" borderId="0" xfId="13" applyNumberFormat="1" applyFont="1" applyFill="1" applyProtection="1">
      <protection hidden="1"/>
    </xf>
    <xf numFmtId="0" fontId="16" fillId="2" borderId="0" xfId="0" applyFont="1" applyFill="1" applyAlignment="1" applyProtection="1">
      <alignment wrapText="1"/>
      <protection hidden="1"/>
    </xf>
    <xf numFmtId="0" fontId="18" fillId="2" borderId="0" xfId="0" applyFont="1" applyFill="1" applyAlignment="1" applyProtection="1">
      <alignment horizontal="right"/>
      <protection hidden="1"/>
    </xf>
    <xf numFmtId="0" fontId="14" fillId="2" borderId="0" xfId="0" applyFont="1" applyFill="1" applyAlignment="1" applyProtection="1">
      <alignment horizontal="left" vertical="center"/>
      <protection hidden="1"/>
    </xf>
    <xf numFmtId="167" fontId="14" fillId="2" borderId="0" xfId="0" applyNumberFormat="1" applyFont="1" applyFill="1" applyAlignment="1" applyProtection="1">
      <alignment wrapText="1"/>
      <protection hidden="1"/>
    </xf>
    <xf numFmtId="0" fontId="19" fillId="2" borderId="0" xfId="0" applyFont="1" applyFill="1" applyAlignment="1" applyProtection="1">
      <alignment vertical="center"/>
      <protection hidden="1"/>
    </xf>
    <xf numFmtId="0" fontId="20" fillId="2" borderId="0" xfId="0" applyFont="1" applyFill="1" applyAlignment="1" applyProtection="1">
      <alignment vertical="center"/>
      <protection hidden="1"/>
    </xf>
    <xf numFmtId="164" fontId="14" fillId="2" borderId="0" xfId="1" applyNumberFormat="1" applyFont="1" applyFill="1" applyBorder="1" applyAlignment="1" applyProtection="1">
      <protection hidden="1"/>
    </xf>
    <xf numFmtId="167" fontId="14" fillId="2" borderId="0" xfId="6" applyFont="1" applyFill="1" applyBorder="1" applyAlignment="1" applyProtection="1">
      <protection hidden="1"/>
    </xf>
    <xf numFmtId="0" fontId="14" fillId="2" borderId="0" xfId="0" applyFont="1" applyFill="1" applyAlignment="1" applyProtection="1">
      <alignment vertical="center"/>
      <protection hidden="1"/>
    </xf>
    <xf numFmtId="4" fontId="14" fillId="2" borderId="0" xfId="0" applyNumberFormat="1" applyFont="1" applyFill="1" applyAlignment="1" applyProtection="1">
      <alignment horizontal="center" vertical="center"/>
      <protection hidden="1"/>
    </xf>
    <xf numFmtId="0" fontId="19" fillId="2" borderId="0" xfId="0" applyFont="1" applyFill="1" applyAlignment="1" applyProtection="1">
      <alignment horizontal="center"/>
      <protection hidden="1"/>
    </xf>
    <xf numFmtId="0" fontId="22" fillId="2" borderId="0" xfId="0" applyFont="1" applyFill="1" applyProtection="1">
      <protection hidden="1"/>
    </xf>
    <xf numFmtId="0" fontId="21" fillId="2" borderId="0" xfId="0" applyFont="1" applyFill="1" applyAlignment="1" applyProtection="1">
      <alignment horizontal="right" vertical="center"/>
      <protection hidden="1"/>
    </xf>
    <xf numFmtId="0" fontId="24" fillId="2" borderId="0" xfId="0" applyFont="1" applyFill="1" applyProtection="1">
      <protection hidden="1"/>
    </xf>
    <xf numFmtId="2" fontId="14" fillId="2" borderId="0" xfId="0" applyNumberFormat="1" applyFont="1" applyFill="1" applyProtection="1">
      <protection hidden="1"/>
    </xf>
    <xf numFmtId="4" fontId="19" fillId="2" borderId="0" xfId="0" applyNumberFormat="1" applyFont="1" applyFill="1" applyAlignment="1" applyProtection="1">
      <alignment horizontal="center" vertical="center"/>
      <protection hidden="1"/>
    </xf>
    <xf numFmtId="4" fontId="31" fillId="2" borderId="0" xfId="3" applyNumberFormat="1" applyFont="1" applyFill="1" applyProtection="1">
      <protection hidden="1"/>
    </xf>
    <xf numFmtId="0" fontId="7" fillId="2" borderId="0" xfId="0" applyFont="1" applyFill="1" applyAlignment="1" applyProtection="1">
      <alignment vertical="center"/>
      <protection hidden="1"/>
    </xf>
    <xf numFmtId="164" fontId="0" fillId="2" borderId="0" xfId="0" applyNumberFormat="1" applyFill="1" applyProtection="1">
      <protection hidden="1"/>
    </xf>
    <xf numFmtId="0" fontId="0" fillId="2" borderId="0" xfId="0" applyFill="1" applyAlignment="1" applyProtection="1">
      <alignment horizontal="right"/>
      <protection hidden="1"/>
    </xf>
    <xf numFmtId="0" fontId="23" fillId="2" borderId="0" xfId="0" applyFont="1" applyFill="1" applyProtection="1">
      <protection hidden="1"/>
    </xf>
    <xf numFmtId="0" fontId="25" fillId="2" borderId="0" xfId="3" applyFont="1" applyFill="1" applyProtection="1">
      <protection hidden="1"/>
    </xf>
    <xf numFmtId="0" fontId="25" fillId="2" borderId="0" xfId="3" applyFont="1" applyFill="1" applyAlignment="1" applyProtection="1">
      <alignment horizontal="center"/>
      <protection hidden="1"/>
    </xf>
    <xf numFmtId="169" fontId="25" fillId="2" borderId="0" xfId="3" applyNumberFormat="1" applyFont="1" applyFill="1" applyProtection="1">
      <protection hidden="1"/>
    </xf>
    <xf numFmtId="0" fontId="26" fillId="2" borderId="0" xfId="3" applyFont="1" applyFill="1" applyProtection="1">
      <protection hidden="1"/>
    </xf>
    <xf numFmtId="171" fontId="27" fillId="2" borderId="0" xfId="12" applyNumberFormat="1" applyFont="1" applyFill="1" applyBorder="1" applyProtection="1">
      <protection hidden="1"/>
    </xf>
    <xf numFmtId="0" fontId="27" fillId="2" borderId="0" xfId="3" applyFont="1" applyFill="1" applyProtection="1">
      <protection hidden="1"/>
    </xf>
    <xf numFmtId="0" fontId="27" fillId="2" borderId="0" xfId="3" applyFont="1" applyFill="1" applyAlignment="1" applyProtection="1">
      <alignment horizontal="center"/>
      <protection hidden="1"/>
    </xf>
    <xf numFmtId="171" fontId="23" fillId="2" borderId="0" xfId="12" applyNumberFormat="1" applyFont="1" applyFill="1" applyBorder="1" applyProtection="1">
      <protection hidden="1"/>
    </xf>
    <xf numFmtId="172" fontId="23" fillId="2" borderId="0" xfId="12" applyNumberFormat="1" applyFont="1" applyFill="1" applyBorder="1" applyProtection="1">
      <protection hidden="1"/>
    </xf>
    <xf numFmtId="9" fontId="27" fillId="2" borderId="0" xfId="3" applyNumberFormat="1" applyFont="1" applyFill="1" applyAlignment="1" applyProtection="1">
      <alignment horizontal="center"/>
      <protection hidden="1"/>
    </xf>
    <xf numFmtId="171" fontId="14" fillId="2" borderId="0" xfId="12" applyNumberFormat="1" applyFont="1" applyFill="1" applyBorder="1" applyProtection="1">
      <protection hidden="1"/>
    </xf>
    <xf numFmtId="168" fontId="23" fillId="2" borderId="0" xfId="12" applyNumberFormat="1" applyFont="1" applyFill="1" applyBorder="1" applyProtection="1">
      <protection hidden="1"/>
    </xf>
    <xf numFmtId="168" fontId="27" fillId="2" borderId="0" xfId="12" applyNumberFormat="1" applyFont="1" applyFill="1" applyBorder="1" applyProtection="1">
      <protection hidden="1"/>
    </xf>
    <xf numFmtId="169" fontId="28" fillId="2" borderId="0" xfId="12" applyNumberFormat="1" applyFont="1" applyFill="1" applyBorder="1" applyProtection="1">
      <protection hidden="1"/>
    </xf>
    <xf numFmtId="171" fontId="28" fillId="2" borderId="0" xfId="12" applyNumberFormat="1" applyFont="1" applyFill="1" applyBorder="1" applyProtection="1">
      <protection hidden="1"/>
    </xf>
    <xf numFmtId="171" fontId="15" fillId="2" borderId="0" xfId="12" applyNumberFormat="1" applyFont="1" applyFill="1" applyBorder="1" applyProtection="1">
      <protection hidden="1"/>
    </xf>
    <xf numFmtId="165" fontId="25" fillId="2" borderId="0" xfId="3" applyNumberFormat="1" applyFont="1" applyFill="1" applyProtection="1">
      <protection hidden="1"/>
    </xf>
    <xf numFmtId="0" fontId="19" fillId="2" borderId="0" xfId="0" applyFont="1" applyFill="1" applyProtection="1">
      <protection hidden="1"/>
    </xf>
    <xf numFmtId="164" fontId="17" fillId="2" borderId="0" xfId="0" applyNumberFormat="1" applyFont="1" applyFill="1" applyProtection="1">
      <protection hidden="1"/>
    </xf>
    <xf numFmtId="164" fontId="30" fillId="2" borderId="0" xfId="0" applyNumberFormat="1" applyFont="1" applyFill="1" applyProtection="1">
      <protection hidden="1"/>
    </xf>
    <xf numFmtId="164" fontId="14" fillId="2" borderId="0" xfId="0" applyNumberFormat="1" applyFont="1" applyFill="1" applyProtection="1">
      <protection hidden="1"/>
    </xf>
    <xf numFmtId="9" fontId="14" fillId="2" borderId="0" xfId="2" applyFont="1" applyFill="1" applyBorder="1" applyProtection="1">
      <protection hidden="1"/>
    </xf>
    <xf numFmtId="44" fontId="27" fillId="2" borderId="0" xfId="1" applyFont="1" applyFill="1" applyBorder="1" applyProtection="1">
      <protection hidden="1"/>
    </xf>
    <xf numFmtId="164" fontId="27" fillId="2" borderId="0" xfId="1" applyNumberFormat="1" applyFont="1" applyFill="1" applyBorder="1" applyProtection="1">
      <protection hidden="1"/>
    </xf>
    <xf numFmtId="164" fontId="25" fillId="2" borderId="0" xfId="3" applyNumberFormat="1" applyFont="1" applyFill="1" applyProtection="1">
      <protection hidden="1"/>
    </xf>
    <xf numFmtId="0" fontId="14" fillId="2" borderId="0" xfId="0" applyFont="1" applyFill="1" applyAlignment="1" applyProtection="1">
      <alignment horizontal="left"/>
      <protection hidden="1"/>
    </xf>
    <xf numFmtId="165" fontId="14" fillId="2" borderId="0" xfId="0" applyNumberFormat="1" applyFont="1" applyFill="1" applyProtection="1">
      <protection hidden="1"/>
    </xf>
    <xf numFmtId="1" fontId="14" fillId="2" borderId="0" xfId="0" applyNumberFormat="1" applyFont="1" applyFill="1" applyProtection="1">
      <protection hidden="1"/>
    </xf>
    <xf numFmtId="0" fontId="24" fillId="2" borderId="0" xfId="0" applyFont="1" applyFill="1" applyAlignment="1" applyProtection="1">
      <alignment horizontal="center" vertical="center" wrapText="1"/>
      <protection hidden="1"/>
    </xf>
    <xf numFmtId="0" fontId="24" fillId="2" borderId="0" xfId="0" applyFont="1" applyFill="1" applyAlignment="1" applyProtection="1">
      <alignment horizontal="left" vertical="center" wrapText="1"/>
      <protection hidden="1"/>
    </xf>
    <xf numFmtId="173" fontId="14" fillId="2" borderId="0" xfId="0" applyNumberFormat="1" applyFont="1" applyFill="1" applyProtection="1">
      <protection hidden="1"/>
    </xf>
    <xf numFmtId="0" fontId="33" fillId="2" borderId="0" xfId="13" applyFont="1" applyFill="1" applyAlignment="1" applyProtection="1">
      <alignment horizontal="center"/>
      <protection hidden="1"/>
    </xf>
    <xf numFmtId="174" fontId="34" fillId="2" borderId="0" xfId="13" applyNumberFormat="1" applyFont="1" applyFill="1" applyProtection="1">
      <protection hidden="1"/>
    </xf>
    <xf numFmtId="164" fontId="34" fillId="2" borderId="0" xfId="13" applyNumberFormat="1" applyFont="1" applyFill="1" applyProtection="1">
      <protection hidden="1"/>
    </xf>
    <xf numFmtId="164" fontId="2" fillId="3" borderId="5" xfId="1" applyNumberFormat="1" applyFont="1" applyFill="1" applyBorder="1" applyAlignment="1" applyProtection="1">
      <alignment horizontal="center" vertical="center"/>
      <protection locked="0" hidden="1"/>
    </xf>
    <xf numFmtId="9" fontId="14" fillId="2" borderId="0" xfId="2" applyFont="1" applyFill="1" applyBorder="1" applyAlignment="1" applyProtection="1">
      <alignment horizontal="center"/>
      <protection hidden="1"/>
    </xf>
    <xf numFmtId="0" fontId="25" fillId="2" borderId="0" xfId="3" applyFont="1" applyFill="1" applyAlignment="1" applyProtection="1">
      <alignment horizontal="center" wrapText="1"/>
      <protection hidden="1"/>
    </xf>
    <xf numFmtId="44" fontId="27" fillId="2" borderId="0" xfId="1" applyFont="1" applyFill="1" applyBorder="1" applyAlignment="1" applyProtection="1">
      <alignment horizontal="center" vertical="center"/>
      <protection hidden="1"/>
    </xf>
    <xf numFmtId="0" fontId="26" fillId="2" borderId="0" xfId="3" quotePrefix="1" applyFont="1" applyFill="1" applyAlignment="1" applyProtection="1">
      <alignment horizontal="center"/>
      <protection hidden="1"/>
    </xf>
    <xf numFmtId="0" fontId="26" fillId="2" borderId="0" xfId="3" applyFont="1" applyFill="1" applyAlignment="1" applyProtection="1">
      <alignment horizontal="center"/>
      <protection hidden="1"/>
    </xf>
    <xf numFmtId="0" fontId="19" fillId="2" borderId="0" xfId="0" applyFont="1" applyFill="1" applyAlignment="1" applyProtection="1">
      <alignment horizontal="center"/>
      <protection hidden="1"/>
    </xf>
    <xf numFmtId="0" fontId="25" fillId="2" borderId="0" xfId="3" applyFont="1" applyFill="1" applyAlignment="1" applyProtection="1">
      <alignment horizontal="center" vertical="center" wrapText="1"/>
      <protection hidden="1"/>
    </xf>
    <xf numFmtId="44" fontId="23" fillId="2" borderId="0" xfId="1" applyFont="1" applyFill="1" applyBorder="1" applyAlignment="1" applyProtection="1">
      <alignment horizontal="center" vertical="center"/>
      <protection hidden="1"/>
    </xf>
    <xf numFmtId="0" fontId="32" fillId="2" borderId="0" xfId="3" applyFont="1" applyFill="1" applyAlignment="1" applyProtection="1">
      <alignment horizontal="center" vertical="center" wrapText="1"/>
      <protection hidden="1"/>
    </xf>
    <xf numFmtId="164" fontId="19" fillId="2" borderId="0" xfId="0" applyNumberFormat="1" applyFont="1" applyFill="1" applyAlignment="1" applyProtection="1">
      <alignment horizontal="right" vertical="center" indent="1"/>
      <protection hidden="1"/>
    </xf>
    <xf numFmtId="14" fontId="14" fillId="2" borderId="0" xfId="0" applyNumberFormat="1" applyFont="1" applyFill="1" applyAlignment="1" applyProtection="1">
      <alignment horizontal="center"/>
      <protection hidden="1"/>
    </xf>
    <xf numFmtId="0" fontId="14" fillId="2" borderId="0" xfId="0" applyFont="1" applyFill="1" applyAlignment="1" applyProtection="1">
      <alignment horizontal="center" vertical="center" wrapText="1"/>
      <protection hidden="1"/>
    </xf>
    <xf numFmtId="1" fontId="14" fillId="2" borderId="0" xfId="0" applyNumberFormat="1" applyFont="1" applyFill="1" applyAlignment="1" applyProtection="1">
      <alignment horizontal="center"/>
      <protection hidden="1"/>
    </xf>
    <xf numFmtId="0" fontId="15" fillId="2" borderId="0" xfId="0" applyFont="1" applyFill="1" applyAlignment="1" applyProtection="1">
      <alignment horizontal="center" wrapText="1"/>
      <protection hidden="1"/>
    </xf>
    <xf numFmtId="0" fontId="29" fillId="2" borderId="0" xfId="0" applyFont="1" applyFill="1" applyAlignment="1" applyProtection="1">
      <alignment horizontal="center"/>
      <protection hidden="1"/>
    </xf>
    <xf numFmtId="0" fontId="19" fillId="2" borderId="0" xfId="0" quotePrefix="1" applyFont="1" applyFill="1" applyAlignment="1" applyProtection="1">
      <alignment horizontal="center"/>
      <protection hidden="1"/>
    </xf>
    <xf numFmtId="0" fontId="19" fillId="2" borderId="0" xfId="0" applyFont="1" applyFill="1" applyAlignment="1" applyProtection="1">
      <alignment horizontal="left" vertical="center" wrapText="1"/>
      <protection hidden="1"/>
    </xf>
    <xf numFmtId="10" fontId="19" fillId="2" borderId="0" xfId="2" applyNumberFormat="1" applyFont="1" applyFill="1" applyBorder="1" applyAlignment="1" applyProtection="1">
      <alignment horizontal="center" vertical="center" wrapText="1"/>
      <protection hidden="1"/>
    </xf>
    <xf numFmtId="164" fontId="14" fillId="2" borderId="0" xfId="0" applyNumberFormat="1" applyFont="1" applyFill="1" applyAlignment="1" applyProtection="1">
      <alignment horizontal="right" vertical="center" indent="1"/>
      <protection hidden="1"/>
    </xf>
    <xf numFmtId="0" fontId="14" fillId="2" borderId="0" xfId="0" applyFont="1" applyFill="1" applyAlignment="1" applyProtection="1">
      <alignment horizontal="left" vertical="center" wrapText="1"/>
      <protection hidden="1"/>
    </xf>
    <xf numFmtId="0" fontId="21" fillId="2" borderId="0" xfId="0" applyFont="1" applyFill="1" applyAlignment="1" applyProtection="1">
      <alignment horizontal="center" vertical="center" wrapText="1"/>
      <protection hidden="1"/>
    </xf>
    <xf numFmtId="10" fontId="21" fillId="2" borderId="0" xfId="0" applyNumberFormat="1" applyFont="1" applyFill="1" applyAlignment="1" applyProtection="1">
      <alignment horizontal="center" vertical="center" wrapText="1"/>
      <protection hidden="1"/>
    </xf>
    <xf numFmtId="0" fontId="14" fillId="2" borderId="0" xfId="0" applyFont="1" applyFill="1" applyAlignment="1" applyProtection="1">
      <alignment horizontal="center"/>
      <protection hidden="1"/>
    </xf>
    <xf numFmtId="0" fontId="10" fillId="6" borderId="2" xfId="0" applyFont="1" applyFill="1" applyBorder="1" applyAlignment="1" applyProtection="1">
      <alignment horizontal="center" vertical="center" wrapText="1"/>
      <protection hidden="1"/>
    </xf>
    <xf numFmtId="0" fontId="10" fillId="6" borderId="3"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protection hidden="1"/>
    </xf>
    <xf numFmtId="0" fontId="14" fillId="2" borderId="0" xfId="0" applyFont="1" applyFill="1" applyAlignment="1" applyProtection="1">
      <alignment horizontal="left" vertical="center"/>
      <protection hidden="1"/>
    </xf>
    <xf numFmtId="164" fontId="14" fillId="2" borderId="0" xfId="0" applyNumberFormat="1" applyFont="1" applyFill="1" applyAlignment="1" applyProtection="1">
      <alignment horizontal="center"/>
      <protection hidden="1"/>
    </xf>
    <xf numFmtId="10" fontId="17" fillId="2" borderId="0" xfId="2" applyNumberFormat="1" applyFont="1" applyFill="1" applyBorder="1" applyAlignment="1" applyProtection="1">
      <alignment horizontal="center"/>
      <protection hidden="1"/>
    </xf>
    <xf numFmtId="0" fontId="35" fillId="2" borderId="0" xfId="0" applyFont="1" applyFill="1" applyAlignment="1" applyProtection="1">
      <alignment wrapText="1"/>
      <protection hidden="1"/>
    </xf>
    <xf numFmtId="0" fontId="17" fillId="2" borderId="0" xfId="0" applyFont="1" applyFill="1" applyProtection="1">
      <protection hidden="1"/>
    </xf>
    <xf numFmtId="0" fontId="21" fillId="2" borderId="0" xfId="0" applyFont="1" applyFill="1" applyAlignment="1" applyProtection="1">
      <alignment horizontal="right"/>
      <protection hidden="1"/>
    </xf>
    <xf numFmtId="0" fontId="36" fillId="2" borderId="0" xfId="0" applyFont="1" applyFill="1" applyProtection="1">
      <protection hidden="1"/>
    </xf>
    <xf numFmtId="0" fontId="29" fillId="2" borderId="0" xfId="0" applyFont="1" applyFill="1" applyProtection="1">
      <protection hidden="1"/>
    </xf>
  </cellXfs>
  <cellStyles count="14">
    <cellStyle name="Migliaia 2" xfId="4" xr:uid="{F60C2A72-24B6-48EC-B8B4-31D870F65513}"/>
    <cellStyle name="Migliaia 2 2" xfId="10" xr:uid="{C72144CF-002C-41D3-9ABD-7B35B0C26242}"/>
    <cellStyle name="Migliaia 3" xfId="6" xr:uid="{9BB11F62-F4C1-43C4-B249-4C0CE6EB0F7E}"/>
    <cellStyle name="Normale" xfId="0" builtinId="0"/>
    <cellStyle name="Normale 2" xfId="3" xr:uid="{2E21EC25-F02B-47FC-AB9F-D91615571511}"/>
    <cellStyle name="Normale 2 2" xfId="8" xr:uid="{C9468A6E-E3D8-40CA-9717-37E9D0CF1948}"/>
    <cellStyle name="Normale 3" xfId="5" xr:uid="{81336A89-67CC-4428-8B8F-0D88A943B64B}"/>
    <cellStyle name="Normale_Cartel1" xfId="13" xr:uid="{10BD832B-B7BF-4FE7-A9D5-865A44E15D2D}"/>
    <cellStyle name="Percentuale" xfId="2" builtinId="5"/>
    <cellStyle name="Percentuale 2" xfId="7" xr:uid="{C5EA0D57-7424-4A8C-860F-4E730A00B0F6}"/>
    <cellStyle name="Percentuale 3" xfId="11" xr:uid="{4D5B695F-CC34-4BEB-BB66-9C47B2CD2887}"/>
    <cellStyle name="Valuta" xfId="1" builtinId="4"/>
    <cellStyle name="Valuta 2" xfId="9" xr:uid="{2B46385B-3BD7-401B-9DE4-351133FEC6E7}"/>
    <cellStyle name="Valuta 3" xfId="12" xr:uid="{440F71DD-BAD8-4F5F-82C3-56598F0F7308}"/>
  </cellStyles>
  <dxfs count="2">
    <dxf>
      <font>
        <color rgb="FF00B050"/>
      </font>
    </dxf>
    <dxf>
      <font>
        <color rgb="FFFF0000"/>
      </font>
    </dxf>
  </dxfs>
  <tableStyles count="0" defaultTableStyle="TableStyleMedium2" defaultPivotStyle="PivotStyleLight16"/>
  <colors>
    <mruColors>
      <color rgb="FFFF66FF"/>
      <color rgb="FFFF4F4F"/>
      <color rgb="FFA568D2"/>
      <color rgb="FFB6D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338755</xdr:colOff>
      <xdr:row>3</xdr:row>
      <xdr:rowOff>266700</xdr:rowOff>
    </xdr:from>
    <xdr:to>
      <xdr:col>2</xdr:col>
      <xdr:colOff>2247140</xdr:colOff>
      <xdr:row>7</xdr:row>
      <xdr:rowOff>283974</xdr:rowOff>
    </xdr:to>
    <xdr:pic>
      <xdr:nvPicPr>
        <xdr:cNvPr id="2" name="Immagine 1">
          <a:extLst>
            <a:ext uri="{FF2B5EF4-FFF2-40B4-BE49-F238E27FC236}">
              <a16:creationId xmlns:a16="http://schemas.microsoft.com/office/drawing/2014/main" id="{BCD7B553-E38B-4B56-BB45-FC2487FC4A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377730" y="1438275"/>
          <a:ext cx="1908385" cy="1455549"/>
        </a:xfrm>
        <a:prstGeom prst="rect">
          <a:avLst/>
        </a:prstGeom>
        <a:effectLst>
          <a:softEdge rad="0"/>
        </a:effectLst>
      </xdr:spPr>
    </xdr:pic>
    <xdr:clientData/>
  </xdr:twoCellAnchor>
  <xdr:twoCellAnchor>
    <xdr:from>
      <xdr:col>2</xdr:col>
      <xdr:colOff>57150</xdr:colOff>
      <xdr:row>8</xdr:row>
      <xdr:rowOff>104773</xdr:rowOff>
    </xdr:from>
    <xdr:to>
      <xdr:col>3</xdr:col>
      <xdr:colOff>28575</xdr:colOff>
      <xdr:row>9</xdr:row>
      <xdr:rowOff>809624</xdr:rowOff>
    </xdr:to>
    <xdr:sp macro="" textlink="">
      <xdr:nvSpPr>
        <xdr:cNvPr id="3" name="Rettangolo con angoli arrotondati 2">
          <a:extLst>
            <a:ext uri="{FF2B5EF4-FFF2-40B4-BE49-F238E27FC236}">
              <a16:creationId xmlns:a16="http://schemas.microsoft.com/office/drawing/2014/main" id="{D546E3E0-004D-47A5-8B81-3E80A7F95E73}"/>
            </a:ext>
          </a:extLst>
        </xdr:cNvPr>
        <xdr:cNvSpPr/>
      </xdr:nvSpPr>
      <xdr:spPr>
        <a:xfrm>
          <a:off x="7096125" y="2628898"/>
          <a:ext cx="2466975" cy="10858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400" b="1" i="1" cap="none" spc="0" baseline="0">
              <a:ln w="9525">
                <a:solidFill>
                  <a:schemeClr val="bg1"/>
                </a:solidFill>
                <a:prstDash val="solid"/>
              </a:ln>
              <a:solidFill>
                <a:schemeClr val="tx1"/>
              </a:solidFill>
              <a:effectLst>
                <a:outerShdw blurRad="12700" dist="38100" dir="2700000" algn="tl" rotWithShape="0">
                  <a:schemeClr val="bg1">
                    <a:lumMod val="50000"/>
                  </a:schemeClr>
                </a:outerShdw>
              </a:effectLst>
              <a:latin typeface="Verdana" panose="020B0604030504040204" pitchFamily="34" charset="0"/>
              <a:ea typeface="Verdana" panose="020B0604030504040204" pitchFamily="34" charset="0"/>
            </a:rPr>
            <a:t>A cura del </a:t>
          </a:r>
        </a:p>
        <a:p>
          <a:pPr algn="ctr"/>
          <a:r>
            <a:rPr lang="it-IT" sz="1400" b="1" i="1" cap="none" spc="0" baseline="0">
              <a:ln w="9525">
                <a:solidFill>
                  <a:schemeClr val="bg1"/>
                </a:solidFill>
                <a:prstDash val="solid"/>
              </a:ln>
              <a:solidFill>
                <a:schemeClr val="tx1"/>
              </a:solidFill>
              <a:effectLst>
                <a:outerShdw blurRad="12700" dist="38100" dir="2700000" algn="tl" rotWithShape="0">
                  <a:schemeClr val="bg1">
                    <a:lumMod val="50000"/>
                  </a:schemeClr>
                </a:outerShdw>
              </a:effectLst>
              <a:latin typeface="Verdana" panose="020B0604030504040204" pitchFamily="34" charset="0"/>
              <a:ea typeface="Verdana" panose="020B0604030504040204" pitchFamily="34" charset="0"/>
            </a:rPr>
            <a:t>S.A.PENS. - OR.S.A.</a:t>
          </a:r>
          <a:endParaRPr lang="it-IT" sz="300" b="1" i="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Verdana" panose="020B0604030504040204" pitchFamily="34" charset="0"/>
            <a:ea typeface="Verdana" panose="020B0604030504040204" pitchFamily="34" charset="0"/>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63A30-E09B-49E1-AABE-A7912B1526D9}">
  <sheetPr codeName="Foglio2"/>
  <dimension ref="A1:AB223"/>
  <sheetViews>
    <sheetView tabSelected="1" workbookViewId="0">
      <selection activeCell="A3" sqref="A3"/>
    </sheetView>
  </sheetViews>
  <sheetFormatPr defaultRowHeight="15" x14ac:dyDescent="0.25"/>
  <cols>
    <col min="1" max="1" width="66.85546875" style="9" customWidth="1"/>
    <col min="2" max="2" width="38.7109375" style="9" customWidth="1"/>
    <col min="3" max="3" width="37.42578125" style="9" customWidth="1"/>
    <col min="4" max="4" width="16.28515625" style="9" bestFit="1" customWidth="1"/>
    <col min="5" max="5" width="11.85546875" style="9" customWidth="1"/>
    <col min="6" max="6" width="9.42578125" style="9" bestFit="1" customWidth="1"/>
    <col min="7" max="7" width="13.42578125" style="9" bestFit="1" customWidth="1"/>
    <col min="8" max="8" width="9.140625" style="9"/>
    <col min="9" max="9" width="13.42578125" style="9" bestFit="1" customWidth="1"/>
    <col min="10" max="10" width="12.42578125" style="9" bestFit="1" customWidth="1"/>
    <col min="11" max="11" width="26.7109375" style="9" customWidth="1"/>
    <col min="12" max="12" width="14.85546875" style="9" bestFit="1" customWidth="1"/>
    <col min="13" max="13" width="9.42578125" style="9" bestFit="1" customWidth="1"/>
    <col min="14" max="14" width="13.42578125" style="9" bestFit="1" customWidth="1"/>
    <col min="15" max="15" width="12.42578125" style="9" bestFit="1" customWidth="1"/>
    <col min="16" max="16" width="9.42578125" style="9" bestFit="1" customWidth="1"/>
    <col min="17" max="17" width="12" style="9" bestFit="1" customWidth="1"/>
    <col min="18" max="18" width="9.140625" style="9"/>
    <col min="19" max="19" width="14.85546875" style="9" bestFit="1" customWidth="1"/>
    <col min="20" max="20" width="12.42578125" style="9" bestFit="1" customWidth="1"/>
    <col min="21" max="21" width="12.28515625" style="9" customWidth="1"/>
    <col min="22" max="22" width="11.28515625" style="9" customWidth="1"/>
    <col min="23" max="24" width="9.140625" style="9"/>
    <col min="25" max="25" width="9.42578125" style="9" bestFit="1" customWidth="1"/>
    <col min="26" max="27" width="9.140625" style="9"/>
    <col min="28" max="28" width="9.42578125" style="9" bestFit="1" customWidth="1"/>
    <col min="29" max="16384" width="9.140625" style="9"/>
  </cols>
  <sheetData>
    <row r="1" spans="1:4" ht="36" customHeight="1" thickBot="1" x14ac:dyDescent="0.3">
      <c r="A1" s="100" t="s">
        <v>38</v>
      </c>
      <c r="B1" s="101"/>
    </row>
    <row r="2" spans="1:4" ht="26.25" customHeight="1" thickBot="1" x14ac:dyDescent="0.3">
      <c r="A2" s="6" t="s">
        <v>58</v>
      </c>
      <c r="B2" s="7">
        <f>H35</f>
        <v>8.0000000000000002E-3</v>
      </c>
    </row>
    <row r="3" spans="1:4" ht="30" customHeight="1" x14ac:dyDescent="0.25">
      <c r="A3" s="2" t="s">
        <v>51</v>
      </c>
      <c r="B3" s="76">
        <v>35000</v>
      </c>
      <c r="C3" s="106" t="s">
        <v>64</v>
      </c>
    </row>
    <row r="4" spans="1:4" ht="23.25" customHeight="1" x14ac:dyDescent="0.25">
      <c r="A4" s="3" t="str">
        <f>IF(A3="Importo annuo lordo (anno precedente)","Stipendio mensile lordo (13 mensilità)","")</f>
        <v>Stipendio mensile lordo (13 mensilità)</v>
      </c>
      <c r="B4" s="4">
        <f>IF(A4="Stipendio mensile lordo (13 mensilità)",B3/13,"")</f>
        <v>2692.3076923076924</v>
      </c>
    </row>
    <row r="5" spans="1:4" ht="30" customHeight="1" x14ac:dyDescent="0.25">
      <c r="A5" s="3" t="s">
        <v>1</v>
      </c>
      <c r="B5" s="4">
        <f ca="1">IF(C105="Il programma non è più utilizzabile",0,M44)</f>
        <v>21.300167384615385</v>
      </c>
      <c r="C5" s="38"/>
      <c r="D5" s="39"/>
    </row>
    <row r="6" spans="1:4" ht="30" customHeight="1" x14ac:dyDescent="0.25">
      <c r="A6" s="5" t="s">
        <v>101</v>
      </c>
      <c r="B6" s="4">
        <f ca="1">IF(B4&lt;&gt;"",B4+B5,B3+B5)</f>
        <v>2713.6078596923076</v>
      </c>
      <c r="C6" s="38"/>
      <c r="D6" s="39"/>
    </row>
    <row r="7" spans="1:4" ht="30" customHeight="1" x14ac:dyDescent="0.25">
      <c r="A7" s="3" t="s">
        <v>25</v>
      </c>
      <c r="B7" s="4">
        <f ca="1">IF(C105="Il programma non è più utilizzabile",0,D92)</f>
        <v>7.4550585846153581</v>
      </c>
    </row>
    <row r="8" spans="1:4" ht="23.25" customHeight="1" x14ac:dyDescent="0.25">
      <c r="A8" s="3" t="s">
        <v>96</v>
      </c>
      <c r="B8" s="4">
        <f ca="1">IF(C105="Il programma non è più utilizzabile",0,G134)</f>
        <v>39.787200844433379</v>
      </c>
    </row>
    <row r="9" spans="1:4" ht="30" customHeight="1" x14ac:dyDescent="0.25">
      <c r="A9" s="5" t="s">
        <v>57</v>
      </c>
      <c r="B9" s="4">
        <f ca="1">IF(C105="Il programma non è più utilizzabile",0,D85+B8)</f>
        <v>2753.3950605367409</v>
      </c>
      <c r="C9" s="39"/>
    </row>
    <row r="10" spans="1:4" ht="66.75" customHeight="1" thickBot="1" x14ac:dyDescent="0.3">
      <c r="A10" s="11" t="s">
        <v>97</v>
      </c>
      <c r="B10" s="10">
        <f ca="1">IF(C105="Il programma non è più utilizzabile",0,I85)</f>
        <v>2062.0973481059718</v>
      </c>
    </row>
    <row r="11" spans="1:4" ht="21.75" customHeight="1" thickBot="1" x14ac:dyDescent="0.3">
      <c r="A11" s="12" t="s">
        <v>100</v>
      </c>
      <c r="B11" s="8" t="s">
        <v>65</v>
      </c>
    </row>
    <row r="12" spans="1:4" ht="15.75" x14ac:dyDescent="0.25">
      <c r="A12" s="13" t="s">
        <v>62</v>
      </c>
      <c r="B12" s="1" t="s">
        <v>59</v>
      </c>
    </row>
    <row r="13" spans="1:4" ht="15.75" x14ac:dyDescent="0.25">
      <c r="A13" s="14"/>
      <c r="B13" s="40" t="s">
        <v>63</v>
      </c>
    </row>
    <row r="14" spans="1:4" s="17" customFormat="1" ht="18.75" x14ac:dyDescent="0.3">
      <c r="A14" s="107" t="str">
        <f ca="1">IF(C105="Il programma non è più utilizzabile","Il programma non è più utilizzabile","")</f>
        <v/>
      </c>
      <c r="B14" s="108"/>
    </row>
    <row r="15" spans="1:4" s="17" customFormat="1" x14ac:dyDescent="0.25"/>
    <row r="16" spans="1:4" s="17" customFormat="1" ht="18.75" x14ac:dyDescent="0.3">
      <c r="A16" s="109" t="str">
        <f ca="1">IF(C105="Il programma non è più utilizzabile",C105,"")</f>
        <v/>
      </c>
    </row>
    <row r="17" spans="1:28" s="17" customFormat="1" ht="21" x14ac:dyDescent="0.35">
      <c r="A17" s="110"/>
    </row>
    <row r="18" spans="1:28" s="17" customFormat="1" x14ac:dyDescent="0.25"/>
    <row r="19" spans="1:28" s="17" customFormat="1" x14ac:dyDescent="0.25"/>
    <row r="20" spans="1:28" s="17" customFormat="1" x14ac:dyDescent="0.25"/>
    <row r="21" spans="1:28" s="17" customFormat="1" x14ac:dyDescent="0.25"/>
    <row r="22" spans="1:28" s="17" customFormat="1" x14ac:dyDescent="0.25"/>
    <row r="23" spans="1:28" s="17" customFormat="1" x14ac:dyDescent="0.25"/>
    <row r="24" spans="1:28" s="17" customFormat="1" x14ac:dyDescent="0.25"/>
    <row r="25" spans="1:28" s="17" customFormat="1" x14ac:dyDescent="0.25"/>
    <row r="26" spans="1:28" s="17" customFormat="1" x14ac:dyDescent="0.25"/>
    <row r="27" spans="1:28" s="17" customFormat="1" x14ac:dyDescent="0.25"/>
    <row r="28" spans="1:28" s="17" customFormat="1" x14ac:dyDescent="0.25"/>
    <row r="29" spans="1:28" s="15" customFormat="1" x14ac:dyDescent="0.25"/>
    <row r="30" spans="1:28" s="21" customFormat="1" ht="40.15" customHeight="1" x14ac:dyDescent="0.3">
      <c r="B30" s="102" t="s">
        <v>28</v>
      </c>
      <c r="C30" s="102"/>
      <c r="D30" s="102"/>
      <c r="E30" s="102"/>
      <c r="F30" s="102"/>
      <c r="G30" s="102"/>
      <c r="H30" s="102"/>
      <c r="I30" s="102"/>
      <c r="J30" s="102"/>
      <c r="K30" s="102"/>
      <c r="L30" s="102"/>
      <c r="M30" s="102"/>
      <c r="N30" s="102"/>
      <c r="O30" s="102"/>
      <c r="P30" s="102"/>
      <c r="Q30" s="102"/>
      <c r="R30" s="102"/>
      <c r="S30" s="16"/>
      <c r="T30" s="16"/>
      <c r="U30" s="16"/>
      <c r="V30" s="16"/>
      <c r="W30" s="16"/>
      <c r="X30" s="16"/>
      <c r="Y30" s="16"/>
      <c r="Z30" s="16"/>
      <c r="AA30" s="16"/>
      <c r="AB30" s="16"/>
    </row>
    <row r="31" spans="1:28" s="16" customFormat="1" x14ac:dyDescent="0.25">
      <c r="R31" s="22" t="s">
        <v>29</v>
      </c>
    </row>
    <row r="32" spans="1:28" s="16" customFormat="1" ht="21" customHeight="1" x14ac:dyDescent="0.25">
      <c r="U32" s="23" t="s">
        <v>30</v>
      </c>
      <c r="AB32" s="24">
        <f>U33</f>
        <v>598.61</v>
      </c>
    </row>
    <row r="33" spans="2:28" s="17" customFormat="1" ht="14.45" customHeight="1" x14ac:dyDescent="0.25">
      <c r="B33" s="25"/>
      <c r="C33" s="25"/>
      <c r="D33" s="25"/>
      <c r="E33" s="25"/>
      <c r="F33" s="25"/>
      <c r="G33" s="25"/>
      <c r="H33" s="25"/>
      <c r="I33" s="25"/>
      <c r="J33" s="25"/>
      <c r="K33" s="25"/>
      <c r="L33" s="25"/>
      <c r="M33" s="25"/>
      <c r="N33" s="25"/>
      <c r="O33" s="25"/>
      <c r="P33" s="25"/>
      <c r="Q33" s="25"/>
      <c r="R33" s="26"/>
      <c r="T33" s="17" t="s">
        <v>5</v>
      </c>
      <c r="U33" s="27">
        <v>598.61</v>
      </c>
      <c r="V33" s="17" t="s">
        <v>99</v>
      </c>
    </row>
    <row r="34" spans="2:28" s="17" customFormat="1" ht="14.45" customHeight="1" x14ac:dyDescent="0.25">
      <c r="C34" s="103" t="s">
        <v>31</v>
      </c>
      <c r="D34" s="103"/>
      <c r="E34" s="103"/>
      <c r="F34" s="103"/>
      <c r="G34" s="103"/>
      <c r="H34" s="104">
        <f>IF(A3="Importo annuo lordo (anno precedente)",B3/13,B3)</f>
        <v>2692.3076923076924</v>
      </c>
      <c r="I34" s="104"/>
      <c r="J34" s="25"/>
      <c r="K34" s="17" t="s">
        <v>99</v>
      </c>
      <c r="M34" s="18">
        <v>598.61</v>
      </c>
      <c r="Q34" s="25"/>
      <c r="R34" s="26"/>
      <c r="T34" s="17" t="s">
        <v>6</v>
      </c>
      <c r="U34" s="28">
        <f>U33*4</f>
        <v>2394.44</v>
      </c>
      <c r="V34" s="17" t="s">
        <v>26</v>
      </c>
    </row>
    <row r="35" spans="2:28" s="17" customFormat="1" ht="18.75" x14ac:dyDescent="0.3">
      <c r="C35" s="103" t="s">
        <v>32</v>
      </c>
      <c r="D35" s="103"/>
      <c r="E35" s="103"/>
      <c r="F35" s="103"/>
      <c r="G35" s="103"/>
      <c r="H35" s="105">
        <v>8.0000000000000002E-3</v>
      </c>
      <c r="I35" s="105"/>
      <c r="J35" s="25"/>
      <c r="K35" s="29"/>
      <c r="L35" s="29"/>
      <c r="M35" s="29"/>
      <c r="T35" s="17" t="s">
        <v>7</v>
      </c>
      <c r="U35" s="28">
        <f>U33*5</f>
        <v>2993.05</v>
      </c>
      <c r="V35" s="17" t="s">
        <v>27</v>
      </c>
    </row>
    <row r="36" spans="2:28" s="17" customFormat="1" ht="14.45" customHeight="1" x14ac:dyDescent="0.25"/>
    <row r="37" spans="2:28" s="17" customFormat="1" ht="14.45" customHeight="1" x14ac:dyDescent="0.25">
      <c r="G37" s="99"/>
      <c r="H37" s="99"/>
      <c r="I37" s="99"/>
      <c r="J37" s="30"/>
      <c r="K37" s="82" t="s">
        <v>8</v>
      </c>
      <c r="L37" s="82"/>
      <c r="M37" s="82"/>
      <c r="N37" s="82"/>
      <c r="O37" s="30"/>
      <c r="P37" s="82" t="s">
        <v>9</v>
      </c>
      <c r="Q37" s="82"/>
    </row>
    <row r="38" spans="2:28" s="17" customFormat="1" ht="14.45" customHeight="1" x14ac:dyDescent="0.25">
      <c r="C38" s="96" t="str">
        <f>CONCATENATE(V34," €  ")</f>
        <v xml:space="preserve">Trattamento Minimo x 4 €  </v>
      </c>
      <c r="D38" s="96"/>
      <c r="E38" s="96"/>
      <c r="F38" s="96"/>
      <c r="G38" s="95">
        <f>IF(H34&lt;=U34,H34,U34)</f>
        <v>2394.44</v>
      </c>
      <c r="H38" s="95"/>
      <c r="I38" s="95"/>
      <c r="J38" s="30"/>
      <c r="K38" s="97" t="str">
        <f>"100% di "&amp;TEXT($H$35,"#0,00%")&amp;" ="&amp; TEXT($H$35,"#0,00%")</f>
        <v>100% di 0,80% =0,80%</v>
      </c>
      <c r="L38" s="98">
        <f>H35</f>
        <v>8.0000000000000002E-3</v>
      </c>
      <c r="M38" s="95">
        <f>G38*H35</f>
        <v>19.155519999999999</v>
      </c>
      <c r="N38" s="95"/>
      <c r="O38" s="30"/>
      <c r="P38" s="95">
        <f>G38+M38</f>
        <v>2413.5955199999999</v>
      </c>
      <c r="Q38" s="95"/>
      <c r="S38" s="77">
        <v>1</v>
      </c>
    </row>
    <row r="39" spans="2:28" s="17" customFormat="1" ht="14.45" customHeight="1" x14ac:dyDescent="0.25">
      <c r="C39" s="96"/>
      <c r="D39" s="96"/>
      <c r="E39" s="96"/>
      <c r="F39" s="96"/>
      <c r="G39" s="95"/>
      <c r="H39" s="95"/>
      <c r="I39" s="95"/>
      <c r="J39" s="30"/>
      <c r="K39" s="97"/>
      <c r="L39" s="97"/>
      <c r="M39" s="95"/>
      <c r="N39" s="95"/>
      <c r="O39" s="30"/>
      <c r="P39" s="95"/>
      <c r="Q39" s="95"/>
      <c r="S39" s="77"/>
    </row>
    <row r="40" spans="2:28" s="17" customFormat="1" ht="14.45" customHeight="1" x14ac:dyDescent="0.25">
      <c r="C40" s="96" t="s">
        <v>10</v>
      </c>
      <c r="D40" s="96"/>
      <c r="E40" s="96"/>
      <c r="F40" s="96"/>
      <c r="G40" s="95">
        <f>IF(AND(H34&gt;U34,H34&lt;=U35)=TRUE,H34-U34,0)+IF(H34&gt;U35,U35-U34,0)</f>
        <v>297.86769230769232</v>
      </c>
      <c r="H40" s="95"/>
      <c r="I40" s="95"/>
      <c r="J40" s="30"/>
      <c r="K40" s="97" t="str">
        <f>"90% di "&amp;TEXT($H$35,"#0,00%")&amp;" ="&amp;TEXT($H$35*S40,"#0,00%")</f>
        <v>90% di 0,80% =0,72%</v>
      </c>
      <c r="L40" s="98">
        <f>H35*90%</f>
        <v>7.2000000000000007E-3</v>
      </c>
      <c r="M40" s="95">
        <f>G40*H35*90%</f>
        <v>2.1446473846153848</v>
      </c>
      <c r="N40" s="95"/>
      <c r="O40" s="30"/>
      <c r="P40" s="95">
        <f>G40+M40</f>
        <v>300.01233969230771</v>
      </c>
      <c r="Q40" s="95"/>
      <c r="S40" s="77">
        <v>0.9</v>
      </c>
      <c r="T40" s="32" t="s">
        <v>53</v>
      </c>
      <c r="U40" s="17">
        <v>614.77</v>
      </c>
      <c r="V40" s="41" t="s">
        <v>54</v>
      </c>
      <c r="AB40" s="17" t="e">
        <f>TEXT(#REF!,"#,##")</f>
        <v>#REF!</v>
      </c>
    </row>
    <row r="41" spans="2:28" s="17" customFormat="1" ht="14.45" customHeight="1" x14ac:dyDescent="0.25">
      <c r="C41" s="96"/>
      <c r="D41" s="96"/>
      <c r="E41" s="96"/>
      <c r="F41" s="96"/>
      <c r="G41" s="95"/>
      <c r="H41" s="95"/>
      <c r="I41" s="95"/>
      <c r="J41" s="30"/>
      <c r="K41" s="97"/>
      <c r="L41" s="97"/>
      <c r="M41" s="95"/>
      <c r="N41" s="95"/>
      <c r="O41" s="30"/>
      <c r="P41" s="95"/>
      <c r="Q41" s="95"/>
      <c r="S41" s="77"/>
    </row>
    <row r="42" spans="2:28" s="17" customFormat="1" ht="14.45" customHeight="1" x14ac:dyDescent="0.25">
      <c r="B42" s="33"/>
      <c r="C42" s="96" t="s">
        <v>11</v>
      </c>
      <c r="D42" s="96"/>
      <c r="E42" s="96"/>
      <c r="F42" s="96"/>
      <c r="G42" s="95">
        <f>IF(H34&gt;U35,H34-U35,0)</f>
        <v>0</v>
      </c>
      <c r="H42" s="95"/>
      <c r="I42" s="95"/>
      <c r="J42" s="30"/>
      <c r="K42" s="97" t="str">
        <f>"75% di "&amp;TEXT($H$35,"#0,00%")&amp;" ="&amp;TEXT($H$35*S42,"#0,00%")</f>
        <v>75% di 0,80% =0,60%</v>
      </c>
      <c r="L42" s="98">
        <f>H35*72%</f>
        <v>5.7599999999999995E-3</v>
      </c>
      <c r="M42" s="95">
        <f>G42*H35*75%</f>
        <v>0</v>
      </c>
      <c r="N42" s="95"/>
      <c r="O42" s="30"/>
      <c r="P42" s="95">
        <f>G42+M42</f>
        <v>0</v>
      </c>
      <c r="Q42" s="95"/>
      <c r="S42" s="77">
        <v>0.75</v>
      </c>
      <c r="T42" s="34" t="s">
        <v>55</v>
      </c>
      <c r="U42" s="35">
        <v>617.9</v>
      </c>
      <c r="V42" s="17" t="s">
        <v>56</v>
      </c>
      <c r="Y42" s="17">
        <f>W42+W42*1%</f>
        <v>0</v>
      </c>
    </row>
    <row r="43" spans="2:28" s="17" customFormat="1" ht="14.45" customHeight="1" x14ac:dyDescent="0.25">
      <c r="B43" s="33"/>
      <c r="C43" s="96"/>
      <c r="D43" s="96"/>
      <c r="E43" s="96"/>
      <c r="F43" s="96"/>
      <c r="G43" s="95"/>
      <c r="H43" s="95"/>
      <c r="I43" s="95"/>
      <c r="J43" s="30"/>
      <c r="K43" s="97"/>
      <c r="L43" s="97"/>
      <c r="M43" s="95"/>
      <c r="N43" s="95"/>
      <c r="O43" s="30"/>
      <c r="P43" s="95"/>
      <c r="Q43" s="95"/>
      <c r="S43" s="77"/>
    </row>
    <row r="44" spans="2:28" s="17" customFormat="1" ht="14.45" customHeight="1" x14ac:dyDescent="0.25">
      <c r="B44" s="33"/>
      <c r="C44" s="93" t="s">
        <v>12</v>
      </c>
      <c r="D44" s="93"/>
      <c r="E44" s="93"/>
      <c r="F44" s="93"/>
      <c r="G44" s="86">
        <f>SUM(G38:I43)</f>
        <v>2692.3076923076924</v>
      </c>
      <c r="H44" s="86"/>
      <c r="I44" s="86"/>
      <c r="J44" s="36"/>
      <c r="K44" s="93" t="s">
        <v>39</v>
      </c>
      <c r="L44" s="94">
        <f>IFERROR(M44/G44,"n.d.")</f>
        <v>7.9114907428571423E-3</v>
      </c>
      <c r="M44" s="86">
        <f>SUM(M38:N43)</f>
        <v>21.300167384615385</v>
      </c>
      <c r="N44" s="86"/>
      <c r="O44" s="36"/>
      <c r="P44" s="86">
        <f>G44+M44</f>
        <v>2713.6078596923076</v>
      </c>
      <c r="Q44" s="86"/>
    </row>
    <row r="45" spans="2:28" s="17" customFormat="1" ht="14.45" customHeight="1" x14ac:dyDescent="0.25">
      <c r="B45" s="33"/>
      <c r="C45" s="93"/>
      <c r="D45" s="93"/>
      <c r="E45" s="93"/>
      <c r="F45" s="93"/>
      <c r="G45" s="86"/>
      <c r="H45" s="86"/>
      <c r="I45" s="86"/>
      <c r="J45" s="36"/>
      <c r="K45" s="93"/>
      <c r="L45" s="94"/>
      <c r="M45" s="86"/>
      <c r="N45" s="86"/>
      <c r="O45" s="36"/>
      <c r="P45" s="86"/>
      <c r="Q45" s="86"/>
    </row>
    <row r="46" spans="2:28" s="17" customFormat="1" ht="13.5" customHeight="1" x14ac:dyDescent="0.25">
      <c r="B46" s="33"/>
      <c r="C46" s="33"/>
      <c r="D46" s="33"/>
      <c r="E46" s="33"/>
      <c r="F46" s="33"/>
      <c r="G46" s="33"/>
      <c r="H46" s="33"/>
      <c r="I46" s="33"/>
      <c r="J46" s="33"/>
      <c r="K46" s="33"/>
      <c r="L46" s="33"/>
      <c r="M46" s="33"/>
      <c r="N46" s="33"/>
      <c r="O46" s="33"/>
      <c r="P46" s="33"/>
      <c r="Q46" s="33"/>
      <c r="R46" s="33"/>
    </row>
    <row r="47" spans="2:28" s="15" customFormat="1" x14ac:dyDescent="0.25"/>
    <row r="48" spans="2:28" s="15" customFormat="1" x14ac:dyDescent="0.25"/>
    <row r="49" spans="2:22" s="15" customFormat="1" x14ac:dyDescent="0.25"/>
    <row r="50" spans="2:22" s="15" customFormat="1" x14ac:dyDescent="0.25">
      <c r="H50" s="90" t="s">
        <v>42</v>
      </c>
      <c r="I50" s="90"/>
      <c r="J50" s="90"/>
    </row>
    <row r="51" spans="2:22" s="15" customFormat="1" x14ac:dyDescent="0.25"/>
    <row r="52" spans="2:22" s="17" customFormat="1" x14ac:dyDescent="0.25"/>
    <row r="53" spans="2:22" s="17" customFormat="1" x14ac:dyDescent="0.25"/>
    <row r="54" spans="2:22" s="42" customFormat="1" ht="12.75" x14ac:dyDescent="0.2">
      <c r="C54" s="43"/>
      <c r="D54" s="44"/>
      <c r="I54" s="42" t="s">
        <v>36</v>
      </c>
      <c r="N54" s="42" t="s">
        <v>37</v>
      </c>
      <c r="S54" s="45" t="s">
        <v>44</v>
      </c>
      <c r="T54" s="45"/>
      <c r="U54" s="45"/>
      <c r="V54" s="45"/>
    </row>
    <row r="55" spans="2:22" s="42" customFormat="1" x14ac:dyDescent="0.2">
      <c r="B55" s="42" t="s">
        <v>41</v>
      </c>
      <c r="C55" s="43"/>
      <c r="D55" s="46">
        <f>IF(A3="Importo annuo lordo (anno precedente)",B3,B3*13)</f>
        <v>35000</v>
      </c>
      <c r="E55" s="47"/>
      <c r="F55" s="48"/>
      <c r="G55" s="47"/>
      <c r="I55" s="49">
        <f>D55/12</f>
        <v>2916.6666666666665</v>
      </c>
      <c r="J55" s="47"/>
      <c r="K55" s="48"/>
      <c r="L55" s="47"/>
      <c r="N55" s="49">
        <f>D55/13</f>
        <v>2692.3076923076924</v>
      </c>
      <c r="O55" s="47"/>
      <c r="P55" s="48"/>
      <c r="Q55" s="47"/>
      <c r="S55" s="46">
        <f>D85</f>
        <v>2713.6078596923076</v>
      </c>
      <c r="T55" s="47"/>
      <c r="U55" s="48"/>
      <c r="V55" s="47"/>
    </row>
    <row r="56" spans="2:22" s="42" customFormat="1" x14ac:dyDescent="0.2">
      <c r="C56" s="43"/>
      <c r="D56" s="47"/>
      <c r="E56" s="47"/>
      <c r="F56" s="48"/>
      <c r="G56" s="48" t="s">
        <v>14</v>
      </c>
      <c r="I56" s="47"/>
      <c r="J56" s="47"/>
      <c r="K56" s="48"/>
      <c r="L56" s="48" t="s">
        <v>14</v>
      </c>
      <c r="N56" s="47"/>
      <c r="O56" s="47"/>
      <c r="P56" s="48"/>
      <c r="Q56" s="48" t="s">
        <v>14</v>
      </c>
      <c r="S56" s="47"/>
      <c r="T56" s="47"/>
      <c r="U56" s="48"/>
      <c r="V56" s="48" t="s">
        <v>14</v>
      </c>
    </row>
    <row r="57" spans="2:22" s="42" customFormat="1" ht="15.75" x14ac:dyDescent="0.25">
      <c r="C57" s="43"/>
      <c r="D57" s="50">
        <v>0</v>
      </c>
      <c r="E57" s="50">
        <v>28000</v>
      </c>
      <c r="F57" s="51">
        <v>0.23</v>
      </c>
      <c r="G57" s="52">
        <f>IF(D55&gt;E57,E57*F57,D55*F57)</f>
        <v>6440</v>
      </c>
      <c r="I57" s="53">
        <v>0</v>
      </c>
      <c r="J57" s="53">
        <f t="shared" ref="J57:J58" si="0">E57/12</f>
        <v>2333.3333333333335</v>
      </c>
      <c r="K57" s="51">
        <v>0.23</v>
      </c>
      <c r="L57" s="53">
        <f>IF(I55&gt;J57,J57*K57,I55*K57)</f>
        <v>536.66666666666674</v>
      </c>
      <c r="N57" s="53">
        <v>0</v>
      </c>
      <c r="O57" s="53">
        <f>E57/13</f>
        <v>2153.8461538461538</v>
      </c>
      <c r="P57" s="51">
        <v>0.23</v>
      </c>
      <c r="Q57" s="52">
        <f>IF(N55&gt;O57,O57*P57,N55*P57)</f>
        <v>495.38461538461542</v>
      </c>
      <c r="S57" s="53">
        <v>0</v>
      </c>
      <c r="T57" s="53">
        <f>E57/13</f>
        <v>2153.8461538461538</v>
      </c>
      <c r="U57" s="51">
        <v>0.23</v>
      </c>
      <c r="V57" s="52">
        <f>IF(S55&gt;T57,T57*U57,S55*U57)</f>
        <v>495.38461538461542</v>
      </c>
    </row>
    <row r="58" spans="2:22" s="42" customFormat="1" ht="15.75" x14ac:dyDescent="0.25">
      <c r="C58" s="43"/>
      <c r="D58" s="50">
        <f>E57+0.01</f>
        <v>28000.01</v>
      </c>
      <c r="E58" s="50">
        <v>50000</v>
      </c>
      <c r="F58" s="51">
        <v>0.35</v>
      </c>
      <c r="G58" s="52">
        <f>IF(D55&gt;E70,(E58-E57)*F70,IF(D55&lt;D70,0,(D55-D70)*F70))</f>
        <v>2449.9965000000002</v>
      </c>
      <c r="I58" s="53">
        <f>J57+0.01</f>
        <v>2333.3433333333337</v>
      </c>
      <c r="J58" s="53">
        <f t="shared" si="0"/>
        <v>4166.666666666667</v>
      </c>
      <c r="K58" s="51">
        <v>0.35</v>
      </c>
      <c r="L58" s="53">
        <f>IF(I55&gt;J58,(J58-I58)*K58,IF(I55&lt;I58,0,(I55-I58)*K58))</f>
        <v>204.16316666666648</v>
      </c>
      <c r="N58" s="53">
        <f>O57+0.01</f>
        <v>2153.856153846154</v>
      </c>
      <c r="O58" s="53">
        <f>E58/13</f>
        <v>3846.1538461538462</v>
      </c>
      <c r="P58" s="51">
        <v>0.35</v>
      </c>
      <c r="Q58" s="52">
        <f>IF(N55&gt;O58,(O58-N58)*P58,IF(N55&lt;N58,0,(N55-N58)*P58))</f>
        <v>188.45803846153842</v>
      </c>
      <c r="S58" s="53">
        <f>T57+0.01</f>
        <v>2153.856153846154</v>
      </c>
      <c r="T58" s="53">
        <f t="shared" ref="T58:T59" si="1">E58/13</f>
        <v>3846.1538461538462</v>
      </c>
      <c r="U58" s="51">
        <v>0.35</v>
      </c>
      <c r="V58" s="52">
        <f>IF(S55&gt;T58,(T58-S58)*U58,IF(S55&lt;S58,0,(S55-S58)*U58))</f>
        <v>195.91309704615372</v>
      </c>
    </row>
    <row r="59" spans="2:22" s="42" customFormat="1" ht="15.75" x14ac:dyDescent="0.25">
      <c r="C59" s="43"/>
      <c r="D59" s="50">
        <f>E58+0.01</f>
        <v>50000.01</v>
      </c>
      <c r="E59" s="50"/>
      <c r="F59" s="51">
        <v>0.43</v>
      </c>
      <c r="G59" s="52">
        <f>IF(D55&gt;D59,(D55-D59)*F59,0)</f>
        <v>0</v>
      </c>
      <c r="I59" s="53">
        <f t="shared" ref="I59" si="2">J58+0.01</f>
        <v>4166.6766666666672</v>
      </c>
      <c r="J59" s="53"/>
      <c r="K59" s="51">
        <v>0.43</v>
      </c>
      <c r="L59" s="54">
        <f>IF(I55&gt;I59,(I55-I59)*K59,0)</f>
        <v>0</v>
      </c>
      <c r="N59" s="53">
        <f t="shared" ref="N59" si="3">O58+0.01</f>
        <v>3846.1638461538464</v>
      </c>
      <c r="O59" s="53">
        <f>E59/13</f>
        <v>0</v>
      </c>
      <c r="P59" s="51">
        <v>0.43</v>
      </c>
      <c r="Q59" s="52">
        <f>IF(N55&gt;N59,(N55-N59)*P59,0)</f>
        <v>0</v>
      </c>
      <c r="S59" s="53">
        <f t="shared" ref="S59" si="4">T58+0.01</f>
        <v>3846.1638461538464</v>
      </c>
      <c r="T59" s="53">
        <f t="shared" si="1"/>
        <v>0</v>
      </c>
      <c r="U59" s="51">
        <v>0.43</v>
      </c>
      <c r="V59" s="52">
        <f>IF(S55&gt;S59,(S55-S59)*U59,0)</f>
        <v>0</v>
      </c>
    </row>
    <row r="60" spans="2:22" s="42" customFormat="1" ht="12.75" x14ac:dyDescent="0.2">
      <c r="C60" s="43"/>
      <c r="F60" s="43"/>
      <c r="K60" s="43"/>
      <c r="L60" s="43"/>
      <c r="M60" s="43"/>
      <c r="P60" s="43"/>
      <c r="U60" s="43"/>
    </row>
    <row r="61" spans="2:22" s="42" customFormat="1" ht="12.75" x14ac:dyDescent="0.2">
      <c r="C61" s="43"/>
      <c r="F61" s="43"/>
      <c r="K61" s="43"/>
      <c r="L61" s="43"/>
      <c r="M61" s="43"/>
      <c r="P61" s="43"/>
      <c r="U61" s="43"/>
    </row>
    <row r="62" spans="2:22" s="42" customFormat="1" ht="15.75" x14ac:dyDescent="0.25">
      <c r="C62" s="43"/>
      <c r="F62" s="43" t="s">
        <v>15</v>
      </c>
      <c r="G62" s="55">
        <f>SUM(G57:G59)</f>
        <v>8889.9965000000011</v>
      </c>
      <c r="K62" s="43" t="s">
        <v>15</v>
      </c>
      <c r="L62" s="56">
        <f>SUM(L57:L59)</f>
        <v>740.82983333333323</v>
      </c>
      <c r="P62" s="43" t="s">
        <v>15</v>
      </c>
      <c r="Q62" s="57">
        <f>SUM(Q57:Q59)</f>
        <v>683.84265384615378</v>
      </c>
      <c r="U62" s="43" t="s">
        <v>15</v>
      </c>
      <c r="V62" s="56">
        <f>SUM(V57:V59)</f>
        <v>691.29771243076914</v>
      </c>
    </row>
    <row r="63" spans="2:22" s="42" customFormat="1" ht="12.75" x14ac:dyDescent="0.2">
      <c r="C63" s="43"/>
      <c r="G63" s="42" t="s">
        <v>13</v>
      </c>
      <c r="L63" s="42" t="s">
        <v>16</v>
      </c>
      <c r="Q63" s="42" t="s">
        <v>4</v>
      </c>
      <c r="V63" s="42" t="s">
        <v>23</v>
      </c>
    </row>
    <row r="64" spans="2:22" s="42" customFormat="1" ht="12.75" x14ac:dyDescent="0.2">
      <c r="C64" s="43"/>
      <c r="P64" s="42" t="s">
        <v>22</v>
      </c>
      <c r="Q64" s="58">
        <f>N55-Q62</f>
        <v>2008.4650384615386</v>
      </c>
    </row>
    <row r="65" spans="2:22" s="42" customFormat="1" ht="21" x14ac:dyDescent="0.35">
      <c r="C65" s="91" t="s">
        <v>40</v>
      </c>
      <c r="D65" s="91"/>
      <c r="E65" s="91"/>
      <c r="F65" s="91"/>
      <c r="G65" s="91"/>
      <c r="H65" s="92" t="s">
        <v>33</v>
      </c>
      <c r="I65" s="92"/>
      <c r="J65" s="92"/>
      <c r="K65" s="92"/>
      <c r="L65" s="92"/>
      <c r="N65" s="80" t="s">
        <v>48</v>
      </c>
      <c r="O65" s="81"/>
      <c r="P65" s="81"/>
      <c r="Q65" s="81"/>
      <c r="S65" s="80" t="s">
        <v>49</v>
      </c>
      <c r="T65" s="81"/>
      <c r="U65" s="81"/>
      <c r="V65" s="81"/>
    </row>
    <row r="66" spans="2:22" s="42" customFormat="1" x14ac:dyDescent="0.25">
      <c r="C66" s="82" t="s">
        <v>47</v>
      </c>
      <c r="D66" s="82"/>
      <c r="E66" s="82"/>
      <c r="F66" s="82"/>
      <c r="G66" s="82"/>
      <c r="H66" s="82" t="s">
        <v>34</v>
      </c>
      <c r="I66" s="82"/>
      <c r="J66" s="82"/>
      <c r="K66" s="82"/>
      <c r="L66" s="82"/>
      <c r="N66" s="59" t="s">
        <v>35</v>
      </c>
      <c r="O66" s="59"/>
      <c r="P66" s="59"/>
      <c r="Q66" s="59"/>
      <c r="S66" s="59" t="s">
        <v>35</v>
      </c>
      <c r="T66" s="59"/>
      <c r="U66" s="59"/>
      <c r="V66" s="59"/>
    </row>
    <row r="67" spans="2:22" s="42" customFormat="1" ht="18.75" x14ac:dyDescent="0.3">
      <c r="C67" s="17"/>
      <c r="D67" s="60">
        <f>IF(A3="Importo annuo lordo (anno precedente)",B3,B3*13)</f>
        <v>35000</v>
      </c>
      <c r="E67" s="17"/>
      <c r="F67" s="17"/>
      <c r="G67" s="17"/>
      <c r="H67" s="17"/>
      <c r="I67" s="61">
        <f>D67/12</f>
        <v>2916.6666666666665</v>
      </c>
      <c r="J67" s="17"/>
      <c r="K67" s="17"/>
      <c r="L67" s="17"/>
      <c r="N67" s="61">
        <f>D67/13</f>
        <v>2692.3076923076924</v>
      </c>
      <c r="O67" s="17"/>
      <c r="P67" s="17"/>
      <c r="Q67" s="17"/>
      <c r="S67" s="60">
        <f>D85</f>
        <v>2713.6078596923076</v>
      </c>
      <c r="T67" s="17"/>
      <c r="U67" s="17"/>
      <c r="V67" s="17"/>
    </row>
    <row r="68" spans="2:22" s="42" customFormat="1" x14ac:dyDescent="0.25">
      <c r="C68" s="17"/>
      <c r="D68" s="17"/>
      <c r="E68" s="17"/>
      <c r="F68" s="17"/>
      <c r="G68" s="31" t="s">
        <v>0</v>
      </c>
      <c r="H68" s="17"/>
      <c r="I68" s="17"/>
      <c r="J68" s="17"/>
      <c r="K68" s="17"/>
      <c r="L68" s="31" t="s">
        <v>0</v>
      </c>
      <c r="N68" s="17"/>
      <c r="O68" s="17"/>
      <c r="P68" s="17"/>
      <c r="Q68" s="31" t="s">
        <v>0</v>
      </c>
      <c r="S68" s="17"/>
      <c r="T68" s="17"/>
      <c r="U68" s="17"/>
      <c r="V68" s="31" t="s">
        <v>0</v>
      </c>
    </row>
    <row r="69" spans="2:22" s="42" customFormat="1" x14ac:dyDescent="0.25">
      <c r="C69" s="17"/>
      <c r="D69" s="62"/>
      <c r="E69" s="62">
        <v>28000</v>
      </c>
      <c r="F69" s="63">
        <v>0.23</v>
      </c>
      <c r="G69" s="62">
        <f>IF(D67&gt;E69,E69*F69,$D$17*F69)</f>
        <v>6440</v>
      </c>
      <c r="H69" s="17"/>
      <c r="I69" s="62"/>
      <c r="J69" s="62">
        <f>E69/12</f>
        <v>2333.3333333333335</v>
      </c>
      <c r="K69" s="63">
        <v>0.23</v>
      </c>
      <c r="L69" s="62">
        <f>IF(I67&gt;J69,J69*K69,I67*K69)</f>
        <v>536.66666666666674</v>
      </c>
      <c r="N69" s="53">
        <v>0</v>
      </c>
      <c r="O69" s="53">
        <f>E69/13</f>
        <v>2153.8461538461538</v>
      </c>
      <c r="P69" s="63">
        <v>0.23</v>
      </c>
      <c r="Q69" s="62">
        <f>IF(N67&gt;O69,O69*P69,N67*P69)</f>
        <v>495.38461538461542</v>
      </c>
      <c r="S69" s="53">
        <v>0</v>
      </c>
      <c r="T69" s="53">
        <f>E69/13</f>
        <v>2153.8461538461538</v>
      </c>
      <c r="U69" s="63">
        <v>0.23</v>
      </c>
      <c r="V69" s="62">
        <f>IF(S67&gt;T69,T69*U69,S67*U69)</f>
        <v>495.38461538461542</v>
      </c>
    </row>
    <row r="70" spans="2:22" s="42" customFormat="1" x14ac:dyDescent="0.25">
      <c r="C70" s="17"/>
      <c r="D70" s="62">
        <f>E69+0.01</f>
        <v>28000.01</v>
      </c>
      <c r="E70" s="62">
        <v>50000</v>
      </c>
      <c r="F70" s="63">
        <v>0.35</v>
      </c>
      <c r="G70" s="62">
        <f>IF(D67&gt;E70,(E70-D70)*F70,IF(D67&lt;D70,0,(D67-D70)*F70))</f>
        <v>2449.9965000000002</v>
      </c>
      <c r="H70" s="17"/>
      <c r="I70" s="62">
        <f>J69+0.01</f>
        <v>2333.3433333333337</v>
      </c>
      <c r="J70" s="62">
        <f>E70/12</f>
        <v>4166.666666666667</v>
      </c>
      <c r="K70" s="63">
        <v>0.35</v>
      </c>
      <c r="L70" s="62">
        <f>IF(I67&gt;J70,(J70-I70)*K70,IF(I67&lt;I70,0,(I67-I70)*K70))</f>
        <v>204.16316666666648</v>
      </c>
      <c r="N70" s="53">
        <f>O69+0.01</f>
        <v>2153.856153846154</v>
      </c>
      <c r="O70" s="53">
        <f>E70/13</f>
        <v>3846.1538461538462</v>
      </c>
      <c r="P70" s="63">
        <v>0.35</v>
      </c>
      <c r="Q70" s="62">
        <f>IF(N67&gt;O70,(O70-N70)*P70,IF(N67&lt;N70,0,(N67-N70)*P70))</f>
        <v>188.45803846153842</v>
      </c>
      <c r="S70" s="53">
        <f>T69+0.01</f>
        <v>2153.856153846154</v>
      </c>
      <c r="T70" s="53">
        <f>E70/13</f>
        <v>3846.1538461538462</v>
      </c>
      <c r="U70" s="63">
        <v>0.35</v>
      </c>
      <c r="V70" s="62">
        <f>IF(S67&gt;T70,(T70-S70)*U70,IF(S67&lt;S70,0,(S67-S70)*U70))</f>
        <v>195.91309704615372</v>
      </c>
    </row>
    <row r="71" spans="2:22" s="42" customFormat="1" x14ac:dyDescent="0.25">
      <c r="C71" s="17"/>
      <c r="D71" s="62">
        <f>E70+0.01</f>
        <v>50000.01</v>
      </c>
      <c r="E71" s="62"/>
      <c r="F71" s="63">
        <v>0.43</v>
      </c>
      <c r="G71" s="62">
        <f>IF(D67&gt;D71,(D67-D71)*F71,0)</f>
        <v>0</v>
      </c>
      <c r="H71" s="17"/>
      <c r="I71" s="62">
        <f>J70+0.01</f>
        <v>4166.6766666666672</v>
      </c>
      <c r="J71" s="62"/>
      <c r="K71" s="63">
        <v>0.43</v>
      </c>
      <c r="L71" s="62">
        <f>IF(I67&gt;I71,(I67-I71)*K71,0)</f>
        <v>0</v>
      </c>
      <c r="N71" s="53">
        <f t="shared" ref="N71" si="5">O70+0.01</f>
        <v>3846.1638461538464</v>
      </c>
      <c r="O71" s="53">
        <f>E71/13</f>
        <v>0</v>
      </c>
      <c r="P71" s="63">
        <v>0.43</v>
      </c>
      <c r="Q71" s="62">
        <f>IF(N67&gt;N71,(N67-N71)*P71,0)</f>
        <v>0</v>
      </c>
      <c r="S71" s="53">
        <f t="shared" ref="S71" si="6">T70+0.01</f>
        <v>3846.1638461538464</v>
      </c>
      <c r="T71" s="53">
        <f>J71/13</f>
        <v>0</v>
      </c>
      <c r="U71" s="63">
        <v>0.43</v>
      </c>
      <c r="V71" s="62">
        <f>IF(S67&gt;S71,(S67-S71)*U71,0)</f>
        <v>0</v>
      </c>
    </row>
    <row r="72" spans="2:22" s="42" customFormat="1" x14ac:dyDescent="0.25">
      <c r="C72" s="17"/>
      <c r="D72" s="17"/>
      <c r="E72" s="17"/>
      <c r="F72" s="17"/>
      <c r="G72" s="17"/>
      <c r="H72" s="17"/>
      <c r="I72" s="17"/>
      <c r="J72" s="17"/>
      <c r="K72" s="17"/>
      <c r="L72" s="17"/>
      <c r="N72" s="17"/>
      <c r="O72" s="17"/>
      <c r="P72" s="17"/>
      <c r="Q72" s="17"/>
      <c r="S72" s="17"/>
      <c r="T72" s="17"/>
      <c r="U72" s="17"/>
      <c r="V72" s="17"/>
    </row>
    <row r="73" spans="2:22" s="42" customFormat="1" ht="18.75" x14ac:dyDescent="0.3">
      <c r="C73" s="17"/>
      <c r="D73" s="17"/>
      <c r="E73" s="17"/>
      <c r="F73" s="17"/>
      <c r="G73" s="61">
        <f>SUM(G69:G72)</f>
        <v>8889.9965000000011</v>
      </c>
      <c r="H73" s="17"/>
      <c r="I73" s="17"/>
      <c r="J73" s="17"/>
      <c r="K73" s="17"/>
      <c r="L73" s="61">
        <f>SUM(L69:L72)</f>
        <v>740.82983333333323</v>
      </c>
      <c r="N73" s="17"/>
      <c r="O73" s="17"/>
      <c r="P73" s="17"/>
      <c r="Q73" s="61">
        <f>SUM(Q69:Q72)</f>
        <v>683.84265384615378</v>
      </c>
      <c r="S73" s="17"/>
      <c r="T73" s="17"/>
      <c r="U73" s="17"/>
      <c r="V73" s="60">
        <f>SUM(V69:V72)</f>
        <v>691.29771243076914</v>
      </c>
    </row>
    <row r="74" spans="2:22" s="42" customFormat="1" ht="12.75" x14ac:dyDescent="0.2">
      <c r="C74" s="43"/>
      <c r="D74" s="42">
        <f>IF(Dati!A56="Importo annuo lordo (anno precedente)",1,2)</f>
        <v>2</v>
      </c>
      <c r="E74" s="37" t="s">
        <v>3</v>
      </c>
    </row>
    <row r="75" spans="2:22" s="42" customFormat="1" ht="12.75" x14ac:dyDescent="0.2">
      <c r="C75" s="43"/>
    </row>
    <row r="76" spans="2:22" s="42" customFormat="1" ht="12.75" x14ac:dyDescent="0.2">
      <c r="C76" s="43"/>
    </row>
    <row r="77" spans="2:22" s="42" customFormat="1" ht="12.75" x14ac:dyDescent="0.2">
      <c r="C77" s="43"/>
    </row>
    <row r="78" spans="2:22" s="42" customFormat="1" x14ac:dyDescent="0.25">
      <c r="B78" s="78" t="s">
        <v>17</v>
      </c>
      <c r="C78" s="43" t="s">
        <v>18</v>
      </c>
      <c r="D78" s="17" t="s">
        <v>51</v>
      </c>
    </row>
    <row r="79" spans="2:22" s="42" customFormat="1" x14ac:dyDescent="0.25">
      <c r="B79" s="78"/>
      <c r="C79" s="43" t="s">
        <v>19</v>
      </c>
      <c r="D79" s="17" t="s">
        <v>52</v>
      </c>
    </row>
    <row r="80" spans="2:22" s="42" customFormat="1" ht="12.75" x14ac:dyDescent="0.2">
      <c r="C80" s="43"/>
    </row>
    <row r="81" spans="2:19" s="42" customFormat="1" x14ac:dyDescent="0.2">
      <c r="B81" s="42" t="s">
        <v>45</v>
      </c>
      <c r="C81" s="43"/>
      <c r="D81" s="64">
        <f>IF(D74=1,D67/13,D67)</f>
        <v>35000</v>
      </c>
      <c r="F81" s="42" t="s">
        <v>46</v>
      </c>
      <c r="G81" s="43"/>
      <c r="I81" s="65">
        <f>Q62</f>
        <v>683.84265384615378</v>
      </c>
      <c r="M81" s="64"/>
      <c r="N81" s="42">
        <v>3846.1538461538462</v>
      </c>
      <c r="P81" s="42" t="s">
        <v>46</v>
      </c>
      <c r="S81" s="42">
        <v>1087.6888076923076</v>
      </c>
    </row>
    <row r="82" spans="2:19" s="42" customFormat="1" ht="12.75" x14ac:dyDescent="0.2">
      <c r="C82" s="43"/>
    </row>
    <row r="83" spans="2:19" s="42" customFormat="1" x14ac:dyDescent="0.2">
      <c r="B83" s="42" t="s">
        <v>43</v>
      </c>
      <c r="C83" s="43"/>
      <c r="D83" s="65">
        <f>M44</f>
        <v>21.300167384615385</v>
      </c>
      <c r="N83" s="42">
        <v>57.168270153846152</v>
      </c>
    </row>
    <row r="84" spans="2:19" s="42" customFormat="1" ht="12.75" x14ac:dyDescent="0.2">
      <c r="C84" s="43"/>
    </row>
    <row r="85" spans="2:19" s="42" customFormat="1" ht="12.75" customHeight="1" x14ac:dyDescent="0.2">
      <c r="B85" s="83" t="s">
        <v>50</v>
      </c>
      <c r="C85" s="43"/>
      <c r="D85" s="79">
        <f>IF(D74=1,D81+D83,D81/13+D83)</f>
        <v>2713.6078596923076</v>
      </c>
      <c r="F85" s="78" t="s">
        <v>20</v>
      </c>
      <c r="G85" s="84">
        <f>V62</f>
        <v>691.29771243076914</v>
      </c>
      <c r="H85" s="85" t="s">
        <v>98</v>
      </c>
      <c r="I85" s="84">
        <f>D85-G85+G134</f>
        <v>2062.0973481059718</v>
      </c>
      <c r="N85" s="42">
        <v>3903.3221163076923</v>
      </c>
      <c r="P85" s="42" t="s">
        <v>20</v>
      </c>
      <c r="Q85" s="42">
        <v>1112.2668638584614</v>
      </c>
      <c r="R85" s="42" t="s">
        <v>24</v>
      </c>
      <c r="S85" s="42">
        <v>2791.0552524492309</v>
      </c>
    </row>
    <row r="86" spans="2:19" s="42" customFormat="1" ht="12.75" x14ac:dyDescent="0.2">
      <c r="B86" s="83"/>
      <c r="C86" s="43"/>
      <c r="D86" s="79"/>
      <c r="F86" s="78"/>
      <c r="G86" s="84"/>
      <c r="H86" s="85"/>
      <c r="I86" s="84"/>
    </row>
    <row r="87" spans="2:19" s="42" customFormat="1" ht="12.75" x14ac:dyDescent="0.2">
      <c r="B87" s="83"/>
      <c r="C87" s="43"/>
      <c r="D87" s="79"/>
      <c r="F87" s="78"/>
      <c r="G87" s="84"/>
      <c r="H87" s="85"/>
      <c r="I87" s="84"/>
    </row>
    <row r="88" spans="2:19" s="42" customFormat="1" ht="12.75" x14ac:dyDescent="0.2">
      <c r="B88" s="83"/>
      <c r="C88" s="43"/>
      <c r="D88" s="79"/>
      <c r="F88" s="78"/>
      <c r="G88" s="84"/>
      <c r="H88" s="85"/>
      <c r="I88" s="84"/>
    </row>
    <row r="89" spans="2:19" s="42" customFormat="1" ht="12.75" x14ac:dyDescent="0.2">
      <c r="C89" s="43"/>
    </row>
    <row r="90" spans="2:19" s="42" customFormat="1" x14ac:dyDescent="0.25">
      <c r="C90" s="43"/>
      <c r="N90" s="17"/>
      <c r="O90" s="17"/>
      <c r="P90" s="17"/>
      <c r="Q90" s="17"/>
      <c r="R90" s="17"/>
    </row>
    <row r="91" spans="2:19" s="42" customFormat="1" x14ac:dyDescent="0.25">
      <c r="C91" s="43"/>
      <c r="N91" s="17"/>
      <c r="O91" s="17"/>
      <c r="P91" s="17"/>
      <c r="Q91" s="17"/>
      <c r="R91" s="17"/>
    </row>
    <row r="92" spans="2:19" s="42" customFormat="1" ht="12.75" x14ac:dyDescent="0.2">
      <c r="B92" s="78" t="s">
        <v>21</v>
      </c>
      <c r="C92" s="43"/>
      <c r="D92" s="79">
        <f>G85-I81</f>
        <v>7.4550585846153581</v>
      </c>
      <c r="N92" s="42">
        <v>24.578056166153829</v>
      </c>
    </row>
    <row r="93" spans="2:19" s="42" customFormat="1" ht="12.75" x14ac:dyDescent="0.2">
      <c r="B93" s="78"/>
      <c r="C93" s="43"/>
      <c r="D93" s="79"/>
      <c r="G93" s="66"/>
    </row>
    <row r="94" spans="2:19" s="42" customFormat="1" ht="12.75" x14ac:dyDescent="0.2">
      <c r="C94" s="43"/>
    </row>
    <row r="95" spans="2:19" s="42" customFormat="1" ht="12.75" x14ac:dyDescent="0.2">
      <c r="C95" s="43"/>
    </row>
    <row r="96" spans="2:19" s="42" customFormat="1" ht="12.75" x14ac:dyDescent="0.2">
      <c r="C96" s="43"/>
    </row>
    <row r="97" spans="2:5" s="42" customFormat="1" ht="12.75" customHeight="1" x14ac:dyDescent="0.2">
      <c r="C97" s="43"/>
    </row>
    <row r="98" spans="2:5" s="42" customFormat="1" ht="12.75" customHeight="1" x14ac:dyDescent="0.25">
      <c r="B98" s="42" t="s">
        <v>60</v>
      </c>
      <c r="C98" s="87">
        <f ca="1">TODAY()</f>
        <v>45625</v>
      </c>
      <c r="D98" s="87"/>
      <c r="E98" s="88" t="s">
        <v>2</v>
      </c>
    </row>
    <row r="99" spans="2:5" s="42" customFormat="1" ht="12.75" customHeight="1" x14ac:dyDescent="0.25">
      <c r="C99" s="89">
        <f ca="1">TODAY()</f>
        <v>45625</v>
      </c>
      <c r="D99" s="89"/>
      <c r="E99" s="88"/>
    </row>
    <row r="100" spans="2:5" s="42" customFormat="1" ht="12.75" customHeight="1" x14ac:dyDescent="0.25">
      <c r="C100" s="17"/>
      <c r="D100" s="15"/>
      <c r="E100" s="88"/>
    </row>
    <row r="101" spans="2:5" s="42" customFormat="1" x14ac:dyDescent="0.25">
      <c r="B101" s="42" t="s">
        <v>61</v>
      </c>
      <c r="C101" s="87">
        <v>45672</v>
      </c>
      <c r="D101" s="87"/>
      <c r="E101" s="88"/>
    </row>
    <row r="102" spans="2:5" s="42" customFormat="1" x14ac:dyDescent="0.25">
      <c r="C102" s="89">
        <f>C101</f>
        <v>45672</v>
      </c>
      <c r="D102" s="89"/>
      <c r="E102" s="88"/>
    </row>
    <row r="103" spans="2:5" s="42" customFormat="1" x14ac:dyDescent="0.25">
      <c r="C103" s="17"/>
      <c r="D103" s="15"/>
      <c r="E103" s="88"/>
    </row>
    <row r="104" spans="2:5" s="42" customFormat="1" x14ac:dyDescent="0.25">
      <c r="C104" s="17"/>
      <c r="D104" s="15"/>
      <c r="E104" s="88"/>
    </row>
    <row r="105" spans="2:5" s="42" customFormat="1" x14ac:dyDescent="0.25">
      <c r="C105" s="67" t="str">
        <f ca="1">IF(C99&gt;C102,"Il programma non è più utilizzabile","")</f>
        <v/>
      </c>
      <c r="D105" s="15"/>
      <c r="E105" s="88"/>
    </row>
    <row r="106" spans="2:5" s="42" customFormat="1" ht="12.75" x14ac:dyDescent="0.2">
      <c r="C106" s="43"/>
    </row>
    <row r="107" spans="2:5" s="42" customFormat="1" ht="12.75" x14ac:dyDescent="0.2">
      <c r="C107" s="43"/>
    </row>
    <row r="108" spans="2:5" s="42" customFormat="1" ht="12.75" x14ac:dyDescent="0.2">
      <c r="C108" s="43"/>
    </row>
    <row r="109" spans="2:5" s="17" customFormat="1" x14ac:dyDescent="0.25"/>
    <row r="110" spans="2:5" s="17" customFormat="1" x14ac:dyDescent="0.25"/>
    <row r="111" spans="2:5" s="17" customFormat="1" x14ac:dyDescent="0.25"/>
    <row r="112" spans="2:5" s="17" customFormat="1" x14ac:dyDescent="0.25"/>
    <row r="113" spans="2:8" s="17" customFormat="1" x14ac:dyDescent="0.25">
      <c r="B113" s="17" t="s">
        <v>66</v>
      </c>
    </row>
    <row r="114" spans="2:8" s="17" customFormat="1" x14ac:dyDescent="0.25">
      <c r="B114" s="17" t="s">
        <v>67</v>
      </c>
      <c r="C114" s="68">
        <f>D85*13</f>
        <v>35276.902175999996</v>
      </c>
    </row>
    <row r="115" spans="2:8" s="17" customFormat="1" x14ac:dyDescent="0.25">
      <c r="B115" s="17" t="s">
        <v>68</v>
      </c>
      <c r="C115" s="68">
        <v>8500</v>
      </c>
      <c r="D115" s="17" t="s">
        <v>69</v>
      </c>
      <c r="E115" s="68">
        <v>1955</v>
      </c>
      <c r="F115" s="17" t="s">
        <v>70</v>
      </c>
      <c r="G115" s="68">
        <v>713</v>
      </c>
    </row>
    <row r="116" spans="2:8" s="17" customFormat="1" x14ac:dyDescent="0.25">
      <c r="B116" s="17" t="s">
        <v>71</v>
      </c>
      <c r="C116" s="68">
        <v>28000</v>
      </c>
      <c r="D116" s="17" t="s">
        <v>72</v>
      </c>
      <c r="E116" s="68">
        <v>700</v>
      </c>
      <c r="F116" s="17" t="s">
        <v>73</v>
      </c>
      <c r="G116" s="68">
        <v>8500</v>
      </c>
    </row>
    <row r="117" spans="2:8" s="17" customFormat="1" x14ac:dyDescent="0.25">
      <c r="B117" s="17" t="s">
        <v>74</v>
      </c>
      <c r="C117" s="68">
        <v>50000</v>
      </c>
      <c r="D117" s="17" t="s">
        <v>75</v>
      </c>
      <c r="E117" s="68">
        <v>700</v>
      </c>
      <c r="F117" s="17" t="s">
        <v>76</v>
      </c>
      <c r="G117" s="68">
        <v>1255</v>
      </c>
    </row>
    <row r="118" spans="2:8" s="17" customFormat="1" x14ac:dyDescent="0.25"/>
    <row r="119" spans="2:8" s="17" customFormat="1" x14ac:dyDescent="0.25">
      <c r="B119" s="17" t="s">
        <v>77</v>
      </c>
      <c r="C119" s="69">
        <v>365</v>
      </c>
    </row>
    <row r="120" spans="2:8" s="17" customFormat="1" x14ac:dyDescent="0.25"/>
    <row r="121" spans="2:8" s="17" customFormat="1" ht="15" customHeight="1" x14ac:dyDescent="0.25">
      <c r="B121" s="17" t="s">
        <v>78</v>
      </c>
      <c r="C121" s="68">
        <v>25001</v>
      </c>
      <c r="D121" s="70"/>
      <c r="E121" s="70"/>
      <c r="F121" s="70"/>
      <c r="G121" s="70"/>
      <c r="H121" s="71"/>
    </row>
    <row r="122" spans="2:8" s="17" customFormat="1" x14ac:dyDescent="0.25">
      <c r="B122" s="17" t="s">
        <v>79</v>
      </c>
      <c r="C122" s="68">
        <v>29000</v>
      </c>
      <c r="D122" s="71"/>
      <c r="E122" s="71"/>
      <c r="F122" s="71"/>
      <c r="G122" s="71"/>
      <c r="H122" s="71"/>
    </row>
    <row r="123" spans="2:8" s="17" customFormat="1" x14ac:dyDescent="0.25">
      <c r="B123" s="17" t="s">
        <v>80</v>
      </c>
      <c r="C123" s="68">
        <v>50</v>
      </c>
      <c r="D123" s="71"/>
      <c r="E123" s="71"/>
      <c r="F123" s="71"/>
      <c r="G123" s="71"/>
      <c r="H123" s="71"/>
    </row>
    <row r="124" spans="2:8" s="17" customFormat="1" x14ac:dyDescent="0.25"/>
    <row r="125" spans="2:8" s="17" customFormat="1" x14ac:dyDescent="0.25"/>
    <row r="126" spans="2:8" s="17" customFormat="1" x14ac:dyDescent="0.25">
      <c r="B126" s="17" t="s">
        <v>81</v>
      </c>
      <c r="C126" s="72" cm="1">
        <f t="array" ref="C126">_xlfn.IFS(Reddito_pensionati&lt;=Fascia_1,Base_1,Reddito_pensionati&lt;=Fascia_2,Base_2+Molt._Fascia_2*(Fascia_2-Reddito_pensionati)/(Fascia_2-Fascia_1),Reddito_pensionati&lt;=Fascia_3,Base_2*(Fascia_3-Reddito_pensionati)/(Fascia_3-Fascia_2),Reddito_pensionati&gt;Fascia_3,0)*(giorni/365)+IF(AND(Reddito_pensionati&gt;=min._agg.,Reddito_pensionati&lt;=max._agg.),aggiuntiva,0)</f>
        <v>468.46220349090919</v>
      </c>
    </row>
    <row r="127" spans="2:8" s="17" customFormat="1" x14ac:dyDescent="0.25"/>
    <row r="128" spans="2:8" s="17" customFormat="1" x14ac:dyDescent="0.25">
      <c r="B128" s="17" t="s">
        <v>82</v>
      </c>
      <c r="C128" s="68">
        <f>VLOOKUP(giorni+30,E134:G145,3)</f>
        <v>39.787200844433379</v>
      </c>
    </row>
    <row r="129" spans="2:8" s="17" customFormat="1" x14ac:dyDescent="0.25">
      <c r="B129" s="16"/>
      <c r="C129" s="16"/>
      <c r="D129" s="16"/>
      <c r="E129" s="16"/>
      <c r="F129" s="16"/>
      <c r="G129" s="16"/>
      <c r="H129" s="16"/>
    </row>
    <row r="130" spans="2:8" s="17" customFormat="1" x14ac:dyDescent="0.25">
      <c r="B130" s="16"/>
      <c r="C130" s="16"/>
      <c r="D130" s="16"/>
      <c r="E130" s="16"/>
      <c r="F130" s="16"/>
      <c r="G130" s="16"/>
      <c r="H130" s="16"/>
    </row>
    <row r="131" spans="2:8" s="17" customFormat="1" x14ac:dyDescent="0.25">
      <c r="B131" s="16"/>
      <c r="C131" s="16"/>
      <c r="D131" s="16"/>
      <c r="E131" s="16"/>
      <c r="F131" s="16"/>
      <c r="G131" s="16"/>
      <c r="H131" s="16"/>
    </row>
    <row r="132" spans="2:8" s="17" customFormat="1" x14ac:dyDescent="0.25"/>
    <row r="133" spans="2:8" s="17" customFormat="1" x14ac:dyDescent="0.25">
      <c r="C133" s="73" t="s">
        <v>83</v>
      </c>
      <c r="D133" s="73"/>
      <c r="E133" s="73"/>
      <c r="F133" s="73"/>
      <c r="G133" s="19"/>
    </row>
    <row r="134" spans="2:8" s="17" customFormat="1" x14ac:dyDescent="0.25">
      <c r="C134" s="19" t="s">
        <v>84</v>
      </c>
      <c r="D134" s="20">
        <v>31</v>
      </c>
      <c r="E134" s="19">
        <v>31</v>
      </c>
      <c r="F134" s="74">
        <f>C126</f>
        <v>468.46220349090919</v>
      </c>
      <c r="G134" s="74">
        <f>$E$147*D134</f>
        <v>39.787200844433379</v>
      </c>
    </row>
    <row r="135" spans="2:8" s="17" customFormat="1" x14ac:dyDescent="0.25">
      <c r="C135" s="19" t="s">
        <v>85</v>
      </c>
      <c r="D135" s="19">
        <v>28</v>
      </c>
      <c r="E135" s="20">
        <f>SUM($D$134:D135)</f>
        <v>59</v>
      </c>
      <c r="F135" s="75"/>
      <c r="G135" s="74">
        <f t="shared" ref="G135:G145" si="7">$E$147*D135</f>
        <v>35.936826569165632</v>
      </c>
    </row>
    <row r="136" spans="2:8" s="17" customFormat="1" x14ac:dyDescent="0.25">
      <c r="C136" s="19" t="s">
        <v>86</v>
      </c>
      <c r="D136" s="19">
        <v>31</v>
      </c>
      <c r="E136" s="20">
        <f>SUM($D$134:D136)</f>
        <v>90</v>
      </c>
      <c r="F136" s="75"/>
      <c r="G136" s="74">
        <f t="shared" si="7"/>
        <v>39.787200844433379</v>
      </c>
    </row>
    <row r="137" spans="2:8" s="17" customFormat="1" x14ac:dyDescent="0.25">
      <c r="C137" s="19" t="s">
        <v>87</v>
      </c>
      <c r="D137" s="19">
        <v>30</v>
      </c>
      <c r="E137" s="20">
        <f>SUM($D$134:D137)</f>
        <v>120</v>
      </c>
      <c r="F137" s="75"/>
      <c r="G137" s="74">
        <f t="shared" si="7"/>
        <v>38.503742752677468</v>
      </c>
    </row>
    <row r="138" spans="2:8" s="17" customFormat="1" x14ac:dyDescent="0.25">
      <c r="C138" s="19" t="s">
        <v>88</v>
      </c>
      <c r="D138" s="19">
        <v>31</v>
      </c>
      <c r="E138" s="20">
        <f>SUM($D$134:D138)</f>
        <v>151</v>
      </c>
      <c r="F138" s="75"/>
      <c r="G138" s="74">
        <f t="shared" si="7"/>
        <v>39.787200844433379</v>
      </c>
    </row>
    <row r="139" spans="2:8" s="17" customFormat="1" x14ac:dyDescent="0.25">
      <c r="C139" s="19" t="s">
        <v>89</v>
      </c>
      <c r="D139" s="19">
        <v>30</v>
      </c>
      <c r="E139" s="20">
        <f>SUM($D$134:D139)</f>
        <v>181</v>
      </c>
      <c r="F139" s="75"/>
      <c r="G139" s="74">
        <f t="shared" si="7"/>
        <v>38.503742752677468</v>
      </c>
    </row>
    <row r="140" spans="2:8" s="17" customFormat="1" x14ac:dyDescent="0.25">
      <c r="C140" s="19" t="s">
        <v>90</v>
      </c>
      <c r="D140" s="19">
        <v>31</v>
      </c>
      <c r="E140" s="20">
        <f>SUM($D$134:D140)</f>
        <v>212</v>
      </c>
      <c r="F140" s="75"/>
      <c r="G140" s="74">
        <f t="shared" si="7"/>
        <v>39.787200844433379</v>
      </c>
    </row>
    <row r="141" spans="2:8" s="17" customFormat="1" x14ac:dyDescent="0.25">
      <c r="C141" s="19" t="s">
        <v>91</v>
      </c>
      <c r="D141" s="19">
        <v>31</v>
      </c>
      <c r="E141" s="20">
        <f>SUM($D$134:D141)</f>
        <v>243</v>
      </c>
      <c r="F141" s="75"/>
      <c r="G141" s="74">
        <f t="shared" si="7"/>
        <v>39.787200844433379</v>
      </c>
    </row>
    <row r="142" spans="2:8" s="17" customFormat="1" x14ac:dyDescent="0.25">
      <c r="C142" s="19" t="s">
        <v>92</v>
      </c>
      <c r="D142" s="19">
        <v>30</v>
      </c>
      <c r="E142" s="20">
        <f>SUM($D$134:D142)</f>
        <v>273</v>
      </c>
      <c r="F142" s="75"/>
      <c r="G142" s="74">
        <f t="shared" si="7"/>
        <v>38.503742752677468</v>
      </c>
    </row>
    <row r="143" spans="2:8" s="17" customFormat="1" x14ac:dyDescent="0.25">
      <c r="C143" s="19" t="s">
        <v>93</v>
      </c>
      <c r="D143" s="19">
        <v>31</v>
      </c>
      <c r="E143" s="20">
        <f>SUM($D$134:D143)</f>
        <v>304</v>
      </c>
      <c r="F143" s="75"/>
      <c r="G143" s="74">
        <f t="shared" si="7"/>
        <v>39.787200844433379</v>
      </c>
    </row>
    <row r="144" spans="2:8" s="17" customFormat="1" x14ac:dyDescent="0.25">
      <c r="C144" s="19" t="s">
        <v>94</v>
      </c>
      <c r="D144" s="19">
        <v>30</v>
      </c>
      <c r="E144" s="20">
        <f>SUM($D$134:D144)</f>
        <v>334</v>
      </c>
      <c r="F144" s="75"/>
      <c r="G144" s="74">
        <f t="shared" si="7"/>
        <v>38.503742752677468</v>
      </c>
    </row>
    <row r="145" spans="3:7" s="17" customFormat="1" x14ac:dyDescent="0.25">
      <c r="C145" s="19" t="s">
        <v>95</v>
      </c>
      <c r="D145" s="19">
        <v>31</v>
      </c>
      <c r="E145" s="20">
        <f>SUM($D$134:D145)</f>
        <v>365</v>
      </c>
      <c r="F145" s="75"/>
      <c r="G145" s="74">
        <f t="shared" si="7"/>
        <v>39.787200844433379</v>
      </c>
    </row>
    <row r="146" spans="3:7" s="17" customFormat="1" x14ac:dyDescent="0.25">
      <c r="C146" s="19"/>
      <c r="D146" s="19"/>
      <c r="E146" s="19"/>
      <c r="F146" s="19"/>
      <c r="G146" s="19"/>
    </row>
    <row r="147" spans="3:7" s="17" customFormat="1" x14ac:dyDescent="0.25">
      <c r="C147" s="19"/>
      <c r="D147" s="20">
        <f>SUM(D134:D145)</f>
        <v>365</v>
      </c>
      <c r="E147" s="19">
        <f>F134/D147</f>
        <v>1.2834580917559155</v>
      </c>
      <c r="F147" s="19"/>
      <c r="G147" s="19"/>
    </row>
    <row r="148" spans="3:7" s="17" customFormat="1" x14ac:dyDescent="0.25"/>
    <row r="149" spans="3:7" s="17" customFormat="1" x14ac:dyDescent="0.25"/>
    <row r="150" spans="3:7" s="17" customFormat="1" x14ac:dyDescent="0.25"/>
    <row r="151" spans="3:7" s="17" customFormat="1" x14ac:dyDescent="0.25"/>
    <row r="152" spans="3:7" s="17" customFormat="1" x14ac:dyDescent="0.25"/>
    <row r="153" spans="3:7" s="17" customFormat="1" x14ac:dyDescent="0.25"/>
    <row r="154" spans="3:7" s="17" customFormat="1" x14ac:dyDescent="0.25"/>
    <row r="155" spans="3:7" s="17" customFormat="1" x14ac:dyDescent="0.25"/>
    <row r="156" spans="3:7" s="17" customFormat="1" x14ac:dyDescent="0.25"/>
    <row r="157" spans="3:7" s="17" customFormat="1" x14ac:dyDescent="0.25"/>
    <row r="158" spans="3:7" s="17" customFormat="1" x14ac:dyDescent="0.25"/>
    <row r="159" spans="3:7" s="17" customFormat="1" x14ac:dyDescent="0.25"/>
    <row r="160" spans="3:7"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sheetData>
  <sheetProtection algorithmName="SHA-512" hashValue="qwdOtP9HvfNcmnxdUehuGvLIP3lW+oRC299G49NjVdTT3T/MOrUVjnFSYhVCJth4uudXBBHeDJiho3+WwrHjKQ==" saltValue="S0/hWmJmevWUdJ/qijd3lA==" spinCount="100000" sheet="1" objects="1" scenarios="1" selectLockedCells="1"/>
  <mergeCells count="57">
    <mergeCell ref="A1:B1"/>
    <mergeCell ref="B30:R30"/>
    <mergeCell ref="C34:G34"/>
    <mergeCell ref="H34:I34"/>
    <mergeCell ref="C35:G35"/>
    <mergeCell ref="H35:I35"/>
    <mergeCell ref="G37:I37"/>
    <mergeCell ref="K37:N37"/>
    <mergeCell ref="P37:Q37"/>
    <mergeCell ref="C38:F39"/>
    <mergeCell ref="G38:I39"/>
    <mergeCell ref="K38:K39"/>
    <mergeCell ref="L38:L39"/>
    <mergeCell ref="M38:N39"/>
    <mergeCell ref="P38:Q39"/>
    <mergeCell ref="P40:Q41"/>
    <mergeCell ref="C42:F43"/>
    <mergeCell ref="G42:I43"/>
    <mergeCell ref="K42:K43"/>
    <mergeCell ref="L42:L43"/>
    <mergeCell ref="M42:N43"/>
    <mergeCell ref="P42:Q43"/>
    <mergeCell ref="C40:F41"/>
    <mergeCell ref="G40:I41"/>
    <mergeCell ref="K40:K41"/>
    <mergeCell ref="L40:L41"/>
    <mergeCell ref="M40:N41"/>
    <mergeCell ref="H50:J50"/>
    <mergeCell ref="C65:G65"/>
    <mergeCell ref="H65:L65"/>
    <mergeCell ref="N65:Q65"/>
    <mergeCell ref="C44:F45"/>
    <mergeCell ref="G44:I45"/>
    <mergeCell ref="K44:K45"/>
    <mergeCell ref="L44:L45"/>
    <mergeCell ref="M44:N45"/>
    <mergeCell ref="C98:D98"/>
    <mergeCell ref="E98:E105"/>
    <mergeCell ref="C99:D99"/>
    <mergeCell ref="C101:D101"/>
    <mergeCell ref="C102:D102"/>
    <mergeCell ref="S38:S39"/>
    <mergeCell ref="S40:S41"/>
    <mergeCell ref="S42:S43"/>
    <mergeCell ref="B92:B93"/>
    <mergeCell ref="D92:D93"/>
    <mergeCell ref="S65:V65"/>
    <mergeCell ref="C66:G66"/>
    <mergeCell ref="H66:L66"/>
    <mergeCell ref="B78:B79"/>
    <mergeCell ref="B85:B88"/>
    <mergeCell ref="D85:D88"/>
    <mergeCell ref="F85:F88"/>
    <mergeCell ref="G85:G88"/>
    <mergeCell ref="H85:H88"/>
    <mergeCell ref="I85:I88"/>
    <mergeCell ref="P44:Q45"/>
  </mergeCells>
  <conditionalFormatting sqref="R33:R34">
    <cfRule type="expression" dxfId="1" priority="1">
      <formula>IF(R33="O",TRUE,FALSE)</formula>
    </cfRule>
    <cfRule type="expression" dxfId="0" priority="2">
      <formula>IF(R33="P",TRUE,FALSE)</formula>
    </cfRule>
  </conditionalFormatting>
  <dataValidations count="4">
    <dataValidation type="decimal" allowBlank="1" showInputMessage="1" showErrorMessage="1" errorTitle="Errore" error="Digitare un importo valido." sqref="G38:H38 G40:H40 G42:H42 G44:H44 M38 M40 M42 M44 P38 P42 P40 P44 H34" xr:uid="{0CF3DCE9-846C-4C12-9AB6-DB7CBBC23591}">
      <formula1>0</formula1>
      <formula2>1000000000</formula2>
    </dataValidation>
    <dataValidation type="decimal" allowBlank="1" showInputMessage="1" showErrorMessage="1" errorTitle="Errore" error="Digitare una percentuale valida." sqref="H35" xr:uid="{6B5B676E-A8EB-4B6B-99EC-34565D77C4B0}">
      <formula1>0</formula1>
      <formula2>1</formula2>
    </dataValidation>
    <dataValidation allowBlank="1" showInputMessage="1" showErrorMessage="1" promptTitle="Calcolo IRPEF" prompt="inserire un reddito imponibile" sqref="I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D55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N55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J57:J59 JF57:JF59 TB57:TB59 ACX57:ACX59 AMT57:AMT59 AWP57:AWP59 BGL57:BGL59 BQH57:BQH59 CAD57:CAD59 CJZ57:CJZ59 CTV57:CTV59 DDR57:DDR59 DNN57:DNN59 DXJ57:DXJ59 EHF57:EHF59 ERB57:ERB59 FAX57:FAX59 FKT57:FKT59 FUP57:FUP59 GEL57:GEL59 GOH57:GOH59 GYD57:GYD59 HHZ57:HHZ59 HRV57:HRV59 IBR57:IBR59 ILN57:ILN59 IVJ57:IVJ59 JFF57:JFF59 JPB57:JPB59 JYX57:JYX59 KIT57:KIT59 KSP57:KSP59 LCL57:LCL59 LMH57:LMH59 LWD57:LWD59 MFZ57:MFZ59 MPV57:MPV59 MZR57:MZR59 NJN57:NJN59 NTJ57:NTJ59 ODF57:ODF59 ONB57:ONB59 OWX57:OWX59 PGT57:PGT59 PQP57:PQP59 QAL57:QAL59 QKH57:QKH59 QUD57:QUD59 RDZ57:RDZ59 RNV57:RNV59 RXR57:RXR59 SHN57:SHN59 SRJ57:SRJ59 TBF57:TBF59 TLB57:TLB59 TUX57:TUX59 UET57:UET59 UOP57:UOP59 UYL57:UYL59 VIH57:VIH59 VSD57:VSD59 WBZ57:WBZ59 WLV57:WLV59 WVR57:WVR59 I58:I59 JE58:JE59 TA58:TA59 ACW58:ACW59 AMS58:AMS59 AWO58:AWO59 BGK58:BGK59 BQG58:BQG59 CAC58:CAC59 CJY58:CJY59 CTU58:CTU59 DDQ58:DDQ59 DNM58:DNM59 DXI58:DXI59 EHE58:EHE59 ERA58:ERA59 FAW58:FAW59 FKS58:FKS59 FUO58:FUO59 GEK58:GEK59 GOG58:GOG59 GYC58:GYC59 HHY58:HHY59 HRU58:HRU59 IBQ58:IBQ59 ILM58:ILM59 IVI58:IVI59 JFE58:JFE59 JPA58:JPA59 JYW58:JYW59 KIS58:KIS59 KSO58:KSO59 LCK58:LCK59 LMG58:LMG59 LWC58:LWC59 MFY58:MFY59 MPU58:MPU59 MZQ58:MZQ59 NJM58:NJM59 NTI58:NTI59 ODE58:ODE59 ONA58:ONA59 OWW58:OWW59 PGS58:PGS59 PQO58:PQO59 QAK58:QAK59 QKG58:QKG59 QUC58:QUC59 RDY58:RDY59 RNU58:RNU59 RXQ58:RXQ59 SHM58:SHM59 SRI58:SRI59 TBE58:TBE59 TLA58:TLA59 TUW58:TUW59 UES58:UES59 UOO58:UOO59 UYK58:UYK59 VIG58:VIG59 VSC58:VSC59 WBY58:WBY59 WLU58:WLU59 WVQ58:WVQ59 S55" xr:uid="{4615FEE9-B1D6-4EDB-B06B-23013DBB0F18}"/>
    <dataValidation type="list" allowBlank="1" showInputMessage="1" showErrorMessage="1" sqref="A3" xr:uid="{E59EB44A-E1A0-4F4A-BF14-3B48D6F650C6}">
      <formula1>$D$78:$D$79</formula1>
    </dataValidation>
  </dataValidations>
  <pageMargins left="0.7" right="0.7" top="0.75" bottom="0.75" header="0.3" footer="0.3"/>
  <pageSetup paperSize="9"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14</vt:i4>
      </vt:variant>
    </vt:vector>
  </HeadingPairs>
  <TitlesOfParts>
    <vt:vector size="15" baseType="lpstr">
      <vt:lpstr>Dati</vt:lpstr>
      <vt:lpstr>aggiuntiva</vt:lpstr>
      <vt:lpstr>Base_1</vt:lpstr>
      <vt:lpstr>Base_2</vt:lpstr>
      <vt:lpstr>Detr.min.</vt:lpstr>
      <vt:lpstr>Fascia_1</vt:lpstr>
      <vt:lpstr>Fascia_2</vt:lpstr>
      <vt:lpstr>Fascia_3</vt:lpstr>
      <vt:lpstr>giorni</vt:lpstr>
      <vt:lpstr>max._agg.</vt:lpstr>
      <vt:lpstr>min._agg.</vt:lpstr>
      <vt:lpstr>Molt._Fascia_2</vt:lpstr>
      <vt:lpstr>Progressivo</vt:lpstr>
      <vt:lpstr>Reddito_min.</vt:lpstr>
      <vt:lpstr>Reddito_pensionati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dc:creator>
  <cp:lastModifiedBy>Roberto</cp:lastModifiedBy>
  <dcterms:created xsi:type="dcterms:W3CDTF">2022-09-19T09:52:21Z</dcterms:created>
  <dcterms:modified xsi:type="dcterms:W3CDTF">2024-11-29T09:11:57Z</dcterms:modified>
</cp:coreProperties>
</file>