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Questa_cartella_di_lavoro" defaultThemeVersion="166925"/>
  <mc:AlternateContent xmlns:mc="http://schemas.openxmlformats.org/markup-compatibility/2006">
    <mc:Choice Requires="x15">
      <x15ac:absPath xmlns:x15ac="http://schemas.microsoft.com/office/spreadsheetml/2010/11/ac" url="C:\Users\Roberto\Downloads\"/>
    </mc:Choice>
  </mc:AlternateContent>
  <xr:revisionPtr revIDLastSave="0" documentId="13_ncr:1_{52CCA71B-2D5E-4E24-BFC4-B739CDB4F97C}" xr6:coauthVersionLast="47" xr6:coauthVersionMax="47" xr10:uidLastSave="{00000000-0000-0000-0000-000000000000}"/>
  <workbookProtection workbookAlgorithmName="SHA-512" workbookHashValue="tCE1PRtNTCt77d3NZxm70XFbdTRaiY+0aP1sQjjusYb7XAVPWEVer0rQGcaNFJZsDAitt8QXO/VysZi9cJdNsQ==" workbookSaltValue="i2K7JJYbVijIjKBiaJNVgQ==" workbookSpinCount="100000" lockStructure="1"/>
  <bookViews>
    <workbookView xWindow="-120" yWindow="-120" windowWidth="29040" windowHeight="15720" xr2:uid="{07E6C17B-8EF1-4FD0-A1C9-09AFC5EDCE67}"/>
  </bookViews>
  <sheets>
    <sheet name="Dati" sheetId="2" r:id="rId1"/>
  </sheets>
  <definedNames>
    <definedName name="aggiuntiva">Dati!$C$123</definedName>
    <definedName name="Base_1">Dati!$E$115</definedName>
    <definedName name="Base_2">Dati!$E$116</definedName>
    <definedName name="Detr.min.">Dati!$G$115</definedName>
    <definedName name="Fascia_1">Dati!$C$115</definedName>
    <definedName name="Fascia_2">Dati!$C$116</definedName>
    <definedName name="Fascia_3">Dati!$C$117</definedName>
    <definedName name="giorni">Dati!$C$119</definedName>
    <definedName name="max._agg.">Dati!$C$122</definedName>
    <definedName name="min._agg.">Dati!$C$121</definedName>
    <definedName name="Molt._Fascia_2">Dati!$G$117</definedName>
    <definedName name="Progressivo">Dati!$E$117</definedName>
    <definedName name="Reddito_min.">Dati!$G$116</definedName>
    <definedName name="Reddito_pensionati">Dati!$C$114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2" l="1"/>
  <c r="K40" i="2"/>
  <c r="K38" i="2"/>
  <c r="D147" i="2"/>
  <c r="E145" i="2"/>
  <c r="E144" i="2"/>
  <c r="E143" i="2"/>
  <c r="E142" i="2"/>
  <c r="E141" i="2"/>
  <c r="E140" i="2"/>
  <c r="E139" i="2"/>
  <c r="E138" i="2"/>
  <c r="E137" i="2"/>
  <c r="E136" i="2"/>
  <c r="E135" i="2"/>
  <c r="B2" i="2" l="1"/>
  <c r="D55" i="2"/>
  <c r="N55" i="2" s="1"/>
  <c r="D67" i="2"/>
  <c r="N67" i="2" s="1"/>
  <c r="H34" i="2"/>
  <c r="C102" i="2"/>
  <c r="C99" i="2"/>
  <c r="C105" i="2" s="1"/>
  <c r="C98" i="2"/>
  <c r="D74" i="2"/>
  <c r="T71" i="2"/>
  <c r="O71" i="2"/>
  <c r="D71" i="2"/>
  <c r="T70" i="2"/>
  <c r="S71" i="2" s="1"/>
  <c r="O70" i="2"/>
  <c r="N71" i="2" s="1"/>
  <c r="J70" i="2"/>
  <c r="I71" i="2" s="1"/>
  <c r="D70" i="2"/>
  <c r="T69" i="2"/>
  <c r="S70" i="2" s="1"/>
  <c r="O69" i="2"/>
  <c r="N70" i="2" s="1"/>
  <c r="J69" i="2"/>
  <c r="I70" i="2" s="1"/>
  <c r="T59" i="2"/>
  <c r="O59" i="2"/>
  <c r="D59" i="2"/>
  <c r="T58" i="2"/>
  <c r="S59" i="2" s="1"/>
  <c r="O58" i="2"/>
  <c r="N59" i="2" s="1"/>
  <c r="J58" i="2"/>
  <c r="I59" i="2" s="1"/>
  <c r="D58" i="2"/>
  <c r="T57" i="2"/>
  <c r="S58" i="2" s="1"/>
  <c r="O57" i="2"/>
  <c r="N58" i="2" s="1"/>
  <c r="J57" i="2"/>
  <c r="I58" i="2" s="1"/>
  <c r="Y42" i="2"/>
  <c r="L42" i="2"/>
  <c r="AB40" i="2"/>
  <c r="L40" i="2"/>
  <c r="L38" i="2"/>
  <c r="C38" i="2"/>
  <c r="U35" i="2"/>
  <c r="U34" i="2"/>
  <c r="AB32" i="2"/>
  <c r="A16" i="2" l="1"/>
  <c r="A14" i="2"/>
  <c r="G57" i="2"/>
  <c r="G70" i="2"/>
  <c r="G71" i="2"/>
  <c r="Q71" i="2"/>
  <c r="G58" i="2"/>
  <c r="G69" i="2"/>
  <c r="D81" i="2"/>
  <c r="G59" i="2"/>
  <c r="Q58" i="2"/>
  <c r="Q59" i="2"/>
  <c r="Q57" i="2"/>
  <c r="Q70" i="2"/>
  <c r="I67" i="2"/>
  <c r="Q69" i="2"/>
  <c r="I55" i="2"/>
  <c r="L59" i="2" s="1"/>
  <c r="G38" i="2"/>
  <c r="M38" i="2" s="1"/>
  <c r="G40" i="2"/>
  <c r="G42" i="2"/>
  <c r="G73" i="2" l="1"/>
  <c r="Q62" i="2"/>
  <c r="I81" i="2" s="1"/>
  <c r="G62" i="2"/>
  <c r="G44" i="2"/>
  <c r="L58" i="2"/>
  <c r="L57" i="2"/>
  <c r="Q73" i="2"/>
  <c r="L70" i="2"/>
  <c r="L69" i="2"/>
  <c r="L71" i="2"/>
  <c r="M42" i="2"/>
  <c r="P42" i="2" s="1"/>
  <c r="M40" i="2"/>
  <c r="P38" i="2"/>
  <c r="A4" i="2"/>
  <c r="B4" i="2" s="1"/>
  <c r="Q64" i="2" l="1"/>
  <c r="L62" i="2"/>
  <c r="L73" i="2"/>
  <c r="M44" i="2"/>
  <c r="P40" i="2"/>
  <c r="L44" i="2" l="1"/>
  <c r="D83" i="2"/>
  <c r="D85" i="2" s="1"/>
  <c r="B5" i="2"/>
  <c r="B6" i="2" s="1"/>
  <c r="P44" i="2"/>
  <c r="C114" i="2" l="1"/>
  <c r="C126" i="2" s="1" a="1"/>
  <c r="C126" i="2" s="1"/>
  <c r="F134" i="2" s="1"/>
  <c r="E147" i="2" s="1"/>
  <c r="G134" i="2" s="1"/>
  <c r="B8" i="2" s="1"/>
  <c r="B9" i="2" s="1"/>
  <c r="S55" i="2"/>
  <c r="S67" i="2"/>
  <c r="G135" i="2" l="1"/>
  <c r="G143" i="2"/>
  <c r="G137" i="2"/>
  <c r="G145" i="2"/>
  <c r="C128" i="2" s="1"/>
  <c r="G136" i="2"/>
  <c r="G138" i="2"/>
  <c r="G140" i="2"/>
  <c r="G141" i="2"/>
  <c r="G142" i="2"/>
  <c r="G139" i="2"/>
  <c r="G144" i="2"/>
  <c r="V58" i="2"/>
  <c r="V57" i="2"/>
  <c r="V59" i="2"/>
  <c r="V71" i="2"/>
  <c r="V70" i="2"/>
  <c r="V69" i="2"/>
  <c r="V62" i="2" l="1"/>
  <c r="G85" i="2" s="1"/>
  <c r="V73" i="2"/>
  <c r="D92" i="2" l="1"/>
  <c r="B7" i="2" s="1"/>
  <c r="I85" i="2"/>
  <c r="B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3" authorId="0" shapeId="0" xr:uid="{7AAB26BE-0737-47E7-89ED-060037A07EFE}">
      <text>
        <r>
          <rPr>
            <b/>
            <sz val="9"/>
            <color indexed="81"/>
            <rFont val="Tahoma"/>
            <family val="2"/>
          </rPr>
          <t>Selezionare se si intende inserire l'importo annuo o quello mensile</t>
        </r>
        <r>
          <rPr>
            <sz val="9"/>
            <color indexed="81"/>
            <rFont val="Tahoma"/>
            <family val="2"/>
          </rPr>
          <t xml:space="preserv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<sst xmlns="http://schemas.openxmlformats.org/spreadsheetml/2006/main" count="116" uniqueCount="102">
  <si>
    <t>IRPEF</t>
  </si>
  <si>
    <t>Aumento mensile lordo</t>
  </si>
  <si>
    <t>Data fine utilizzo</t>
  </si>
  <si>
    <t>reddito annuale / mensile</t>
  </si>
  <si>
    <t>13 mensilità</t>
  </si>
  <si>
    <t>minimo:</t>
  </si>
  <si>
    <t>4 volte</t>
  </si>
  <si>
    <t>5 volte</t>
  </si>
  <si>
    <t>Rivalutazione</t>
  </si>
  <si>
    <t>Importo rivalutato</t>
  </si>
  <si>
    <t>Importo dell'assegno oltre 4 e fino a 5 volte il trattamento minimo</t>
  </si>
  <si>
    <t>Importo dell'assegno oltre 5 volte il trattamento minimo</t>
  </si>
  <si>
    <t>TOTALE</t>
  </si>
  <si>
    <t>Annuale</t>
  </si>
  <si>
    <t xml:space="preserve"> Irpef</t>
  </si>
  <si>
    <t>tot</t>
  </si>
  <si>
    <t>12 mensilità</t>
  </si>
  <si>
    <t>elenco a discesa</t>
  </si>
  <si>
    <t>cod. 1</t>
  </si>
  <si>
    <t>cod. 2</t>
  </si>
  <si>
    <t>IRPEF su pensione mensile + perequazione</t>
  </si>
  <si>
    <t>IRPEFsu perequazione</t>
  </si>
  <si>
    <t>netto</t>
  </si>
  <si>
    <t>SU 13 mensilità</t>
  </si>
  <si>
    <t>Pensione mensile + perequazione netta</t>
  </si>
  <si>
    <t>IRPEF su aumento</t>
  </si>
  <si>
    <t>Trattamento Minimo x 4</t>
  </si>
  <si>
    <t>Trattamento Minimo x 5</t>
  </si>
  <si>
    <t xml:space="preserve">ADEGUAMENTO PENSIONI 2025 SIMULAZIONE CON SOLO 3 SCAGLIONI </t>
  </si>
  <si>
    <t>Versione mia del 19.10.2024</t>
  </si>
  <si>
    <t xml:space="preserve">Il trattamento minimo di riferimento 2024 (PROVVISORIO esclusoeventuale aggiornamento definitivo) è stato pari a </t>
  </si>
  <si>
    <t>Importo dell'assegno mensile nel 2024</t>
  </si>
  <si>
    <t>Tasso di rivalutazione provvisorio 2024 per il 2025</t>
  </si>
  <si>
    <t>= DIVISO 12 DAL CALCOLO ANNUALE</t>
  </si>
  <si>
    <t>Reddito imponibile MENSILE</t>
  </si>
  <si>
    <t>Reddito imponibile mensile</t>
  </si>
  <si>
    <t>/ 12</t>
  </si>
  <si>
    <t>/ 13</t>
  </si>
  <si>
    <t>Calcolo perequazione pensioni 2025</t>
  </si>
  <si>
    <t>Rivalutazione effettiva applicata</t>
  </si>
  <si>
    <t>IRPEF 2024 e 2025</t>
  </si>
  <si>
    <t>Reddito Annuo Lordo</t>
  </si>
  <si>
    <t xml:space="preserve">Casella da valorizzare </t>
  </si>
  <si>
    <t>Perequzione 2025</t>
  </si>
  <si>
    <t>Nuova pensione 2025</t>
  </si>
  <si>
    <t>Pensione mensile 2024  (13 mens.)</t>
  </si>
  <si>
    <t>IRPEF su 13 mensilità 2024</t>
  </si>
  <si>
    <t>Reddito imponibile annuale 2024</t>
  </si>
  <si>
    <t>= DIVISO 13 DAL CALCOLO ANNUALE 2024</t>
  </si>
  <si>
    <t>NUOVA PENSIONE 2025 (13 MENSILITÀ)</t>
  </si>
  <si>
    <t>Pensione mensile + perequazione LORDE</t>
  </si>
  <si>
    <t>Importo annuo lordo (anno precedente)</t>
  </si>
  <si>
    <t>Importo mensile lordo (anno precedente)</t>
  </si>
  <si>
    <t>T.M. 2024 quasi certo</t>
  </si>
  <si>
    <t xml:space="preserve"> (598,61+598,61×2,7% = 614,77)</t>
  </si>
  <si>
    <t>T.M. 2025 provv. (?)</t>
  </si>
  <si>
    <t>da 614,77 a 617,90 ?????</t>
  </si>
  <si>
    <t>Importo mensile lordo aggiornato</t>
  </si>
  <si>
    <t>Trattamento Minimo</t>
  </si>
  <si>
    <t>Realizzato da Roberto Spadino</t>
  </si>
  <si>
    <t>oggi</t>
  </si>
  <si>
    <t>Data scadenza</t>
  </si>
  <si>
    <t>Cella B3: Inserire il reddito lordo annuale o mensile (13 mensilità)</t>
  </si>
  <si>
    <t>v. 4/2024</t>
  </si>
  <si>
    <t>Verificare che l'importo corrisponda a quello annuale o mensile (13 mensilità)</t>
  </si>
  <si>
    <t>Utilizzabile fino al 15 gennaio 2025</t>
  </si>
  <si>
    <t xml:space="preserve"> x PENSIONE</t>
  </si>
  <si>
    <t>Reddito pensionati</t>
  </si>
  <si>
    <t>Fascia 1</t>
  </si>
  <si>
    <t>Base 1</t>
  </si>
  <si>
    <t>Detr.min.</t>
  </si>
  <si>
    <t>Fascia 2</t>
  </si>
  <si>
    <t>Base 2</t>
  </si>
  <si>
    <t>Reddito min.</t>
  </si>
  <si>
    <t>Fascia 3</t>
  </si>
  <si>
    <t>Progressivo</t>
  </si>
  <si>
    <t>Molt. Fascia 2</t>
  </si>
  <si>
    <t>giorni</t>
  </si>
  <si>
    <t>min. agg.</t>
  </si>
  <si>
    <t>max. agg.</t>
  </si>
  <si>
    <t>aggiuntiva</t>
  </si>
  <si>
    <t>Calcolo detrazione ANNUALE</t>
  </si>
  <si>
    <t>Detrazione riferita a mese specifico</t>
  </si>
  <si>
    <t>Detrazione reddito da pensione anno 2007</t>
  </si>
  <si>
    <t>Gennaio</t>
  </si>
  <si>
    <t>Febbraio</t>
  </si>
  <si>
    <t>Marzo</t>
  </si>
  <si>
    <t>Aprile</t>
  </si>
  <si>
    <t>Maggio</t>
  </si>
  <si>
    <t>Giugno</t>
  </si>
  <si>
    <t>Luglio</t>
  </si>
  <si>
    <t>Agosto</t>
  </si>
  <si>
    <t>Settembre</t>
  </si>
  <si>
    <t>Ottobre</t>
  </si>
  <si>
    <t>Novembre</t>
  </si>
  <si>
    <t>Dicembre</t>
  </si>
  <si>
    <t>Detrazione reddito da pensione di gennaio 2025</t>
  </si>
  <si>
    <t>Importo netto (aggiungere altre eventuali detrazioni alle quali si ha titolo, sottrarre le addizionali comunali e regionali nei mesi previsti ed altre eventuali ritenute)</t>
  </si>
  <si>
    <t>Pensione mensile + perequazione netta + detrazione</t>
  </si>
  <si>
    <t>Trattamento Minimo provvisorio 2024 x 2025</t>
  </si>
  <si>
    <t>Cella A3: selezionare da elenco a discesa importo annuale o mensile</t>
  </si>
  <si>
    <t>Importo mensile lordo con aumento perequazione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</si>
</sst>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0.00\ &quot;€&quot;"/>
    <numFmt numFmtId="165" formatCode="_-* #,##0.00\ [$€-410]_-;\-* #,##0.00\ [$€-410]_-;_-* &quot;-&quot;??\ [$€-410]_-;_-@_-"/>
    <numFmt numFmtId="166" formatCode="0.0%"/>
    <numFmt numFmtId="167" formatCode="_-* #,##0.00\ _€_-;\-* #,##0.00\ _€_-;_-* &quot;-&quot;??\ _€_-;_-@_-"/>
    <numFmt numFmtId="168" formatCode="_-&quot;€&quot;\ * #,##0.00_-;\-&quot;€&quot;\ * #,##0.00_-;_-&quot;€&quot;\ * &quot;-&quot;??_-;_-@_-"/>
    <numFmt numFmtId="169" formatCode="_-[$€-410]\ * #,##0_-;\-[$€-410]\ * #,##0_-;_-[$€-410]\ * &quot;-&quot;??_-;_-@_-"/>
    <numFmt numFmtId="170" formatCode="_-&quot;L.&quot;\ * #,##0.00_-;\-&quot;L.&quot;\ * #,##0.00_-;_-&quot;L.&quot;\ * &quot;-&quot;??_-;_-@_-"/>
    <numFmt numFmtId="171" formatCode="_-[$€-410]\ * #,##0.00_-;\-[$€-410]\ * #,##0.00_-;_-[$€-410]\ * &quot;-&quot;??_-;_-@_-"/>
    <numFmt numFmtId="172" formatCode="_-&quot;€&quot;\ * #,##0_-;\-&quot;€&quot;\ * #,##0_-;_-&quot;€&quot;\ * &quot;-&quot;??_-;_-@_-"/>
    <numFmt numFmtId="173" formatCode="_-* #,##0\ [$€-410]_-;\-* #,##0\ [$€-410]_-;_-* &quot;-&quot;\ [$€-410]_-;_-@_-"/>
    <numFmt numFmtId="174" formatCode="&quot;€&quot;\ #,##0.00"/>
  </numFmts>
  <fonts count="37" x14ac:knownFonts="1">
    <font>
      <sz val="11"/>
      <color theme="1"/>
      <name val="Calibri"/>
      <family val="2"/>
      <scheme val="minor"/>
    </font>
    <font>
      <sz val="11"/>
      <color theme="1"/>
      <name val="Calibri"/>
      <family val="2"/>
      <scheme val="minor"/>
    </font>
    <font>
      <b/>
      <sz val="22"/>
      <color theme="1"/>
      <name val="Times New Roman"/>
      <family val="1"/>
    </font>
    <font>
      <sz val="9"/>
      <color indexed="81"/>
      <name val="Tahoma"/>
      <family val="2"/>
    </font>
    <font>
      <b/>
      <sz val="9"/>
      <color indexed="81"/>
      <name val="Tahoma"/>
      <family val="2"/>
    </font>
    <font>
      <i/>
      <sz val="11"/>
      <color theme="1"/>
      <name val="Calibri"/>
      <family val="2"/>
      <scheme val="minor"/>
    </font>
    <font>
      <sz val="10"/>
      <name val="Arial"/>
      <family val="2"/>
    </font>
    <font>
      <b/>
      <sz val="16"/>
      <color rgb="FFFF0000"/>
      <name val="Calibri"/>
      <family val="2"/>
      <scheme val="minor"/>
    </font>
    <font>
      <b/>
      <sz val="22"/>
      <name val="Times New Roman"/>
      <family val="1"/>
    </font>
    <font>
      <sz val="16"/>
      <color theme="1"/>
      <name val="Times New Roman"/>
      <family val="1"/>
    </font>
    <font>
      <b/>
      <sz val="24"/>
      <color theme="0"/>
      <name val="Times New Roman"/>
      <family val="1"/>
    </font>
    <font>
      <b/>
      <sz val="20"/>
      <color theme="0"/>
      <name val="Times New Roman"/>
      <family val="1"/>
    </font>
    <font>
      <b/>
      <sz val="26"/>
      <name val="Times New Roman"/>
      <family val="1"/>
    </font>
    <font>
      <i/>
      <sz val="12"/>
      <color rgb="FF0070C0"/>
      <name val="Calibri"/>
      <family val="2"/>
      <scheme val="minor"/>
    </font>
    <font>
      <sz val="11"/>
      <color theme="0" tint="-0.14999847407452621"/>
      <name val="Calibri"/>
      <family val="2"/>
      <scheme val="minor"/>
    </font>
    <font>
      <sz val="11"/>
      <color theme="0" tint="-0.14999847407452621"/>
      <name val="Calibri"/>
      <family val="2"/>
    </font>
    <font>
      <sz val="12"/>
      <color theme="0" tint="-0.14999847407452621"/>
      <name val="Barlow Condensed"/>
    </font>
    <font>
      <b/>
      <sz val="14"/>
      <color theme="0" tint="-0.14999847407452621"/>
      <name val="Calibri"/>
      <family val="2"/>
      <scheme val="minor"/>
    </font>
    <font>
      <i/>
      <sz val="9"/>
      <color theme="0" tint="-0.14999847407452621"/>
      <name val="Calibri"/>
      <family val="2"/>
      <scheme val="minor"/>
    </font>
    <font>
      <b/>
      <sz val="11"/>
      <color theme="0" tint="-0.14999847407452621"/>
      <name val="Calibri"/>
      <family val="2"/>
      <scheme val="minor"/>
    </font>
    <font>
      <b/>
      <sz val="20"/>
      <color theme="0" tint="-0.14999847407452621"/>
      <name val="Wingdings 2"/>
      <family val="1"/>
      <charset val="2"/>
    </font>
    <font>
      <i/>
      <sz val="11"/>
      <color theme="0" tint="-0.14999847407452621"/>
      <name val="Calibri"/>
      <family val="2"/>
      <scheme val="minor"/>
    </font>
    <font>
      <sz val="9"/>
      <color theme="0" tint="-0.14999847407452621"/>
      <name val="Calibri"/>
      <family val="2"/>
      <scheme val="minor"/>
    </font>
    <font>
      <sz val="11"/>
      <color theme="0" tint="-0.14999847407452621"/>
      <name val="Arial"/>
      <family val="2"/>
    </font>
    <font>
      <sz val="10"/>
      <color theme="0" tint="-0.14999847407452621"/>
      <name val="Calibri"/>
      <family val="2"/>
      <scheme val="minor"/>
    </font>
    <font>
      <sz val="10"/>
      <color theme="0" tint="-0.14999847407452621"/>
      <name val="Arial"/>
      <family val="2"/>
    </font>
    <font>
      <b/>
      <sz val="10"/>
      <color theme="0" tint="-0.14999847407452621"/>
      <name val="Arial"/>
      <family val="2"/>
    </font>
    <font>
      <sz val="12"/>
      <color theme="0" tint="-0.14999847407452621"/>
      <name val="Arial"/>
      <family val="2"/>
    </font>
    <font>
      <sz val="12"/>
      <color theme="0" tint="-0.14999847407452621"/>
      <name val="Calibri"/>
      <family val="2"/>
    </font>
    <font>
      <b/>
      <sz val="16"/>
      <color theme="0" tint="-0.14999847407452621"/>
      <name val="Calibri"/>
      <family val="2"/>
      <scheme val="minor"/>
    </font>
    <font>
      <b/>
      <sz val="12"/>
      <color theme="0" tint="-0.14999847407452621"/>
      <name val="Calibri"/>
      <family val="2"/>
      <scheme val="minor"/>
    </font>
    <font>
      <sz val="9"/>
      <color theme="0" tint="-0.14999847407452621"/>
      <name val="Verdana"/>
      <family val="2"/>
    </font>
    <font>
      <sz val="7"/>
      <color theme="0" tint="-0.14999847407452621"/>
      <name val="Arial"/>
      <family val="2"/>
    </font>
    <font>
      <b/>
      <sz val="8"/>
      <color theme="0" tint="-0.14999847407452621"/>
      <name val="Arial"/>
      <family val="2"/>
    </font>
    <font>
      <sz val="8"/>
      <color theme="0" tint="-0.14999847407452621"/>
      <name val="Arial"/>
      <family val="2"/>
    </font>
    <font>
      <b/>
      <sz val="11"/>
      <color rgb="FFFF0000"/>
      <name val="Calibri"/>
      <family val="2"/>
      <scheme val="minor"/>
    </font>
    <font>
      <sz val="14"/>
      <color theme="0" tint="-0.1499984740745262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499984740745262"/>
        <bgColor indexed="64"/>
      </patternFill>
    </fill>
  </fills>
  <borders count="11">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thin">
        <color indexed="64"/>
      </bottom>
      <diagonal/>
    </border>
    <border>
      <left style="thin">
        <color indexed="64"/>
      </left>
      <right style="medium">
        <color theme="0"/>
      </right>
      <top/>
      <bottom style="thin">
        <color indexed="64"/>
      </bottom>
      <diagonal/>
    </border>
    <border>
      <left style="thin">
        <color indexed="64"/>
      </left>
      <right style="medium">
        <color theme="0"/>
      </right>
      <top style="thin">
        <color indexed="64"/>
      </top>
      <bottom style="thin">
        <color indexed="64"/>
      </bottom>
      <diagonal/>
    </border>
    <border>
      <left style="medium">
        <color theme="0"/>
      </left>
      <right/>
      <top style="thin">
        <color indexed="64"/>
      </top>
      <bottom style="thin">
        <color indexed="64"/>
      </bottom>
      <diagonal/>
    </border>
    <border>
      <left style="medium">
        <color theme="0"/>
      </left>
      <right/>
      <top style="thin">
        <color indexed="64"/>
      </top>
      <bottom/>
      <diagonal/>
    </border>
    <border>
      <left style="thin">
        <color indexed="64"/>
      </left>
      <right style="medium">
        <color theme="0"/>
      </right>
      <top style="thin">
        <color indexed="64"/>
      </top>
      <bottom/>
      <diagonal/>
    </border>
    <border>
      <left style="thin">
        <color theme="0"/>
      </left>
      <right style="thin">
        <color theme="0"/>
      </right>
      <top style="thin">
        <color theme="0"/>
      </top>
      <bottom style="thin">
        <color theme="0"/>
      </bottom>
      <diagonal/>
    </border>
  </borders>
  <cellStyleXfs count="1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6" fillId="0" borderId="0"/>
    <xf numFmtId="168"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70" fontId="6" fillId="0" borderId="0" applyFont="0" applyFill="0" applyBorder="0" applyAlignment="0" applyProtection="0"/>
    <xf numFmtId="0" fontId="6" fillId="0" borderId="0"/>
  </cellStyleXfs>
  <cellXfs count="111">
    <xf numFmtId="0" fontId="0" fillId="0" borderId="0" xfId="0"/>
    <xf numFmtId="0" fontId="5" fillId="2" borderId="0" xfId="0" applyFont="1" applyFill="1" applyAlignment="1" applyProtection="1">
      <alignment horizontal="right"/>
      <protection hidden="1"/>
    </xf>
    <xf numFmtId="0" fontId="9" fillId="3" borderId="4" xfId="0" applyFont="1" applyFill="1" applyBorder="1" applyAlignment="1" applyProtection="1">
      <alignment vertical="center"/>
      <protection locked="0" hidden="1"/>
    </xf>
    <xf numFmtId="0" fontId="9" fillId="4" borderId="7" xfId="0" applyFont="1" applyFill="1" applyBorder="1" applyAlignment="1" applyProtection="1">
      <alignment vertical="center"/>
      <protection hidden="1"/>
    </xf>
    <xf numFmtId="164" fontId="8" fillId="4" borderId="6" xfId="1" applyNumberFormat="1" applyFont="1" applyFill="1" applyBorder="1" applyAlignment="1" applyProtection="1">
      <alignment horizontal="center" vertical="center"/>
      <protection hidden="1"/>
    </xf>
    <xf numFmtId="0" fontId="9" fillId="4" borderId="8" xfId="0" applyFont="1" applyFill="1" applyBorder="1" applyAlignment="1" applyProtection="1">
      <alignment vertical="center"/>
      <protection hidden="1"/>
    </xf>
    <xf numFmtId="0" fontId="11" fillId="6" borderId="1" xfId="0" applyFont="1" applyFill="1" applyBorder="1" applyAlignment="1" applyProtection="1">
      <alignment horizontal="right" vertical="center" wrapText="1"/>
      <protection hidden="1"/>
    </xf>
    <xf numFmtId="166" fontId="11" fillId="6" borderId="1" xfId="2" applyNumberFormat="1" applyFont="1" applyFill="1" applyBorder="1" applyAlignment="1" applyProtection="1">
      <alignment horizontal="center" vertical="center" wrapText="1"/>
      <protection hidden="1"/>
    </xf>
    <xf numFmtId="0" fontId="5" fillId="2" borderId="1" xfId="0" applyFont="1" applyFill="1" applyBorder="1" applyAlignment="1" applyProtection="1">
      <alignment horizontal="center"/>
      <protection hidden="1"/>
    </xf>
    <xf numFmtId="0" fontId="0" fillId="2" borderId="0" xfId="0" applyFill="1" applyProtection="1">
      <protection hidden="1"/>
    </xf>
    <xf numFmtId="164" fontId="12" fillId="3" borderId="9" xfId="1" applyNumberFormat="1" applyFont="1" applyFill="1" applyBorder="1" applyAlignment="1" applyProtection="1">
      <alignment horizontal="center" vertical="center"/>
      <protection hidden="1"/>
    </xf>
    <xf numFmtId="0" fontId="9" fillId="5" borderId="8" xfId="0" applyFont="1" applyFill="1" applyBorder="1" applyAlignment="1" applyProtection="1">
      <alignment vertical="center" wrapText="1"/>
      <protection hidden="1"/>
    </xf>
    <xf numFmtId="0" fontId="13" fillId="2" borderId="8" xfId="0" applyFont="1" applyFill="1" applyBorder="1" applyProtection="1">
      <protection hidden="1"/>
    </xf>
    <xf numFmtId="0" fontId="13" fillId="2" borderId="10" xfId="0" applyFont="1" applyFill="1" applyBorder="1" applyProtection="1">
      <protection hidden="1"/>
    </xf>
    <xf numFmtId="0" fontId="13" fillId="2" borderId="0" xfId="0" applyFont="1" applyFill="1" applyProtection="1">
      <protection hidden="1"/>
    </xf>
    <xf numFmtId="0" fontId="15" fillId="2" borderId="0" xfId="0" applyFont="1" applyFill="1" applyAlignment="1" applyProtection="1">
      <alignment wrapText="1"/>
      <protection hidden="1"/>
    </xf>
    <xf numFmtId="0" fontId="14" fillId="2" borderId="0" xfId="0" applyFont="1" applyFill="1" applyAlignment="1" applyProtection="1">
      <alignment wrapText="1"/>
      <protection hidden="1"/>
    </xf>
    <xf numFmtId="0" fontId="14" fillId="2" borderId="0" xfId="0" applyFont="1" applyFill="1" applyProtection="1">
      <protection hidden="1"/>
    </xf>
    <xf numFmtId="164" fontId="14" fillId="2" borderId="0" xfId="1" applyNumberFormat="1" applyFont="1" applyFill="1" applyBorder="1" applyProtection="1">
      <protection hidden="1"/>
    </xf>
    <xf numFmtId="0" fontId="34" fillId="2" borderId="0" xfId="13" applyFont="1" applyFill="1" applyProtection="1">
      <protection hidden="1"/>
    </xf>
    <xf numFmtId="1" fontId="34" fillId="2" borderId="0" xfId="13" applyNumberFormat="1" applyFont="1" applyFill="1" applyProtection="1">
      <protection hidden="1"/>
    </xf>
    <xf numFmtId="0" fontId="16" fillId="2" borderId="0" xfId="0" applyFont="1" applyFill="1" applyAlignment="1" applyProtection="1">
      <alignment wrapText="1"/>
      <protection hidden="1"/>
    </xf>
    <xf numFmtId="0" fontId="18" fillId="2" borderId="0" xfId="0" applyFont="1" applyFill="1" applyAlignment="1" applyProtection="1">
      <alignment horizontal="right"/>
      <protection hidden="1"/>
    </xf>
    <xf numFmtId="0" fontId="14" fillId="2" borderId="0" xfId="0" applyFont="1" applyFill="1" applyAlignment="1" applyProtection="1">
      <alignment horizontal="left" vertical="center"/>
      <protection hidden="1"/>
    </xf>
    <xf numFmtId="167" fontId="14" fillId="2" borderId="0" xfId="0" applyNumberFormat="1" applyFont="1" applyFill="1" applyAlignment="1" applyProtection="1">
      <alignment wrapText="1"/>
      <protection hidden="1"/>
    </xf>
    <xf numFmtId="0" fontId="19" fillId="2" borderId="0" xfId="0" applyFont="1" applyFill="1" applyAlignment="1" applyProtection="1">
      <alignment vertical="center"/>
      <protection hidden="1"/>
    </xf>
    <xf numFmtId="0" fontId="20" fillId="2" borderId="0" xfId="0" applyFont="1" applyFill="1" applyAlignment="1" applyProtection="1">
      <alignment vertical="center"/>
      <protection hidden="1"/>
    </xf>
    <xf numFmtId="164" fontId="14" fillId="2" borderId="0" xfId="1" applyNumberFormat="1" applyFont="1" applyFill="1" applyBorder="1" applyAlignment="1" applyProtection="1">
      <protection hidden="1"/>
    </xf>
    <xf numFmtId="167" fontId="14" fillId="2" borderId="0" xfId="6" applyFont="1" applyFill="1" applyBorder="1" applyAlignment="1" applyProtection="1">
      <protection hidden="1"/>
    </xf>
    <xf numFmtId="0" fontId="14" fillId="2" borderId="0" xfId="0" applyFont="1" applyFill="1" applyAlignment="1" applyProtection="1">
      <alignment vertical="center"/>
      <protection hidden="1"/>
    </xf>
    <xf numFmtId="4" fontId="14" fillId="2" borderId="0" xfId="0" applyNumberFormat="1" applyFont="1" applyFill="1" applyAlignment="1" applyProtection="1">
      <alignment horizontal="center" vertical="center"/>
      <protection hidden="1"/>
    </xf>
    <xf numFmtId="0" fontId="19" fillId="2" borderId="0" xfId="0" applyFont="1" applyFill="1" applyAlignment="1" applyProtection="1">
      <alignment horizontal="center"/>
      <protection hidden="1"/>
    </xf>
    <xf numFmtId="0" fontId="22" fillId="2" borderId="0" xfId="0" applyFont="1" applyFill="1" applyProtection="1">
      <protection hidden="1"/>
    </xf>
    <xf numFmtId="0" fontId="21" fillId="2" borderId="0" xfId="0" applyFont="1" applyFill="1" applyAlignment="1" applyProtection="1">
      <alignment horizontal="right" vertical="center"/>
      <protection hidden="1"/>
    </xf>
    <xf numFmtId="0" fontId="24" fillId="2" borderId="0" xfId="0" applyFont="1" applyFill="1" applyProtection="1">
      <protection hidden="1"/>
    </xf>
    <xf numFmtId="2" fontId="14" fillId="2" borderId="0" xfId="0" applyNumberFormat="1" applyFont="1" applyFill="1" applyProtection="1">
      <protection hidden="1"/>
    </xf>
    <xf numFmtId="4" fontId="19" fillId="2" borderId="0" xfId="0" applyNumberFormat="1" applyFont="1" applyFill="1" applyAlignment="1" applyProtection="1">
      <alignment horizontal="center" vertical="center"/>
      <protection hidden="1"/>
    </xf>
    <xf numFmtId="4" fontId="31" fillId="2" borderId="0" xfId="3" applyNumberFormat="1" applyFont="1" applyFill="1" applyProtection="1">
      <protection hidden="1"/>
    </xf>
    <xf numFmtId="0" fontId="7" fillId="2" borderId="0" xfId="0" applyFont="1" applyFill="1" applyAlignment="1" applyProtection="1">
      <alignment vertical="center"/>
      <protection hidden="1"/>
    </xf>
    <xf numFmtId="164" fontId="0" fillId="2" borderId="0" xfId="0" applyNumberFormat="1" applyFill="1" applyProtection="1">
      <protection hidden="1"/>
    </xf>
    <xf numFmtId="0" fontId="0" fillId="2" borderId="0" xfId="0" applyFill="1" applyAlignment="1" applyProtection="1">
      <alignment horizontal="right"/>
      <protection hidden="1"/>
    </xf>
    <xf numFmtId="0" fontId="23" fillId="2" borderId="0" xfId="0" applyFont="1" applyFill="1" applyProtection="1">
      <protection hidden="1"/>
    </xf>
    <xf numFmtId="0" fontId="25" fillId="2" borderId="0" xfId="3" applyFont="1" applyFill="1" applyProtection="1">
      <protection hidden="1"/>
    </xf>
    <xf numFmtId="0" fontId="25" fillId="2" borderId="0" xfId="3" applyFont="1" applyFill="1" applyAlignment="1" applyProtection="1">
      <alignment horizontal="center"/>
      <protection hidden="1"/>
    </xf>
    <xf numFmtId="169" fontId="25" fillId="2" borderId="0" xfId="3" applyNumberFormat="1" applyFont="1" applyFill="1" applyProtection="1">
      <protection hidden="1"/>
    </xf>
    <xf numFmtId="0" fontId="26" fillId="2" borderId="0" xfId="3" applyFont="1" applyFill="1" applyProtection="1">
      <protection hidden="1"/>
    </xf>
    <xf numFmtId="171" fontId="27" fillId="2" borderId="0" xfId="12" applyNumberFormat="1" applyFont="1" applyFill="1" applyBorder="1" applyProtection="1">
      <protection hidden="1"/>
    </xf>
    <xf numFmtId="0" fontId="27" fillId="2" borderId="0" xfId="3" applyFont="1" applyFill="1" applyProtection="1">
      <protection hidden="1"/>
    </xf>
    <xf numFmtId="0" fontId="27" fillId="2" borderId="0" xfId="3" applyFont="1" applyFill="1" applyAlignment="1" applyProtection="1">
      <alignment horizontal="center"/>
      <protection hidden="1"/>
    </xf>
    <xf numFmtId="171" fontId="23" fillId="2" borderId="0" xfId="12" applyNumberFormat="1" applyFont="1" applyFill="1" applyBorder="1" applyProtection="1">
      <protection hidden="1"/>
    </xf>
    <xf numFmtId="172" fontId="23" fillId="2" borderId="0" xfId="12" applyNumberFormat="1" applyFont="1" applyFill="1" applyBorder="1" applyProtection="1">
      <protection hidden="1"/>
    </xf>
    <xf numFmtId="9" fontId="27" fillId="2" borderId="0" xfId="3" applyNumberFormat="1" applyFont="1" applyFill="1" applyAlignment="1" applyProtection="1">
      <alignment horizontal="center"/>
      <protection hidden="1"/>
    </xf>
    <xf numFmtId="171" fontId="14" fillId="2" borderId="0" xfId="12" applyNumberFormat="1" applyFont="1" applyFill="1" applyBorder="1" applyProtection="1">
      <protection hidden="1"/>
    </xf>
    <xf numFmtId="168" fontId="23" fillId="2" borderId="0" xfId="12" applyNumberFormat="1" applyFont="1" applyFill="1" applyBorder="1" applyProtection="1">
      <protection hidden="1"/>
    </xf>
    <xf numFmtId="168" fontId="27" fillId="2" borderId="0" xfId="12" applyNumberFormat="1" applyFont="1" applyFill="1" applyBorder="1" applyProtection="1">
      <protection hidden="1"/>
    </xf>
    <xf numFmtId="169" fontId="28" fillId="2" borderId="0" xfId="12" applyNumberFormat="1" applyFont="1" applyFill="1" applyBorder="1" applyProtection="1">
      <protection hidden="1"/>
    </xf>
    <xf numFmtId="171" fontId="28" fillId="2" borderId="0" xfId="12" applyNumberFormat="1" applyFont="1" applyFill="1" applyBorder="1" applyProtection="1">
      <protection hidden="1"/>
    </xf>
    <xf numFmtId="171" fontId="15" fillId="2" borderId="0" xfId="12" applyNumberFormat="1" applyFont="1" applyFill="1" applyBorder="1" applyProtection="1">
      <protection hidden="1"/>
    </xf>
    <xf numFmtId="165" fontId="25" fillId="2" borderId="0" xfId="3" applyNumberFormat="1" applyFont="1" applyFill="1" applyProtection="1">
      <protection hidden="1"/>
    </xf>
    <xf numFmtId="0" fontId="19" fillId="2" borderId="0" xfId="0" applyFont="1" applyFill="1" applyProtection="1">
      <protection hidden="1"/>
    </xf>
    <xf numFmtId="164" fontId="17" fillId="2" borderId="0" xfId="0" applyNumberFormat="1" applyFont="1" applyFill="1" applyProtection="1">
      <protection hidden="1"/>
    </xf>
    <xf numFmtId="164" fontId="30" fillId="2" borderId="0" xfId="0" applyNumberFormat="1" applyFont="1" applyFill="1" applyProtection="1">
      <protection hidden="1"/>
    </xf>
    <xf numFmtId="164" fontId="14" fillId="2" borderId="0" xfId="0" applyNumberFormat="1" applyFont="1" applyFill="1" applyProtection="1">
      <protection hidden="1"/>
    </xf>
    <xf numFmtId="9" fontId="14" fillId="2" borderId="0" xfId="2" applyFont="1" applyFill="1" applyBorder="1" applyProtection="1">
      <protection hidden="1"/>
    </xf>
    <xf numFmtId="44" fontId="27" fillId="2" borderId="0" xfId="1" applyFont="1" applyFill="1" applyBorder="1" applyProtection="1">
      <protection hidden="1"/>
    </xf>
    <xf numFmtId="164" fontId="27" fillId="2" borderId="0" xfId="1" applyNumberFormat="1" applyFont="1" applyFill="1" applyBorder="1" applyProtection="1">
      <protection hidden="1"/>
    </xf>
    <xf numFmtId="164" fontId="25" fillId="2" borderId="0" xfId="3" applyNumberFormat="1" applyFont="1" applyFill="1" applyProtection="1">
      <protection hidden="1"/>
    </xf>
    <xf numFmtId="0" fontId="14" fillId="2" borderId="0" xfId="0" applyFont="1" applyFill="1" applyAlignment="1" applyProtection="1">
      <alignment horizontal="left"/>
      <protection hidden="1"/>
    </xf>
    <xf numFmtId="165" fontId="14" fillId="2" borderId="0" xfId="0" applyNumberFormat="1" applyFont="1" applyFill="1" applyProtection="1">
      <protection hidden="1"/>
    </xf>
    <xf numFmtId="1" fontId="14" fillId="2" borderId="0" xfId="0" applyNumberFormat="1" applyFont="1" applyFill="1" applyProtection="1">
      <protection hidden="1"/>
    </xf>
    <xf numFmtId="0" fontId="24" fillId="2" borderId="0" xfId="0" applyFont="1" applyFill="1" applyAlignment="1" applyProtection="1">
      <alignment horizontal="center" vertical="center" wrapText="1"/>
      <protection hidden="1"/>
    </xf>
    <xf numFmtId="0" fontId="24" fillId="2" borderId="0" xfId="0" applyFont="1" applyFill="1" applyAlignment="1" applyProtection="1">
      <alignment horizontal="left" vertical="center" wrapText="1"/>
      <protection hidden="1"/>
    </xf>
    <xf numFmtId="173" fontId="14" fillId="2" borderId="0" xfId="0" applyNumberFormat="1" applyFont="1" applyFill="1" applyProtection="1">
      <protection hidden="1"/>
    </xf>
    <xf numFmtId="0" fontId="33" fillId="2" borderId="0" xfId="13" applyFont="1" applyFill="1" applyAlignment="1" applyProtection="1">
      <alignment horizontal="center"/>
      <protection hidden="1"/>
    </xf>
    <xf numFmtId="174" fontId="34" fillId="2" borderId="0" xfId="13" applyNumberFormat="1" applyFont="1" applyFill="1" applyProtection="1">
      <protection hidden="1"/>
    </xf>
    <xf numFmtId="164" fontId="34" fillId="2" borderId="0" xfId="13" applyNumberFormat="1" applyFont="1" applyFill="1" applyProtection="1">
      <protection hidden="1"/>
    </xf>
    <xf numFmtId="164" fontId="2" fillId="3" borderId="5" xfId="1" applyNumberFormat="1" applyFont="1" applyFill="1" applyBorder="1" applyAlignment="1" applyProtection="1">
      <alignment horizontal="center" vertical="center"/>
      <protection locked="0" hidden="1"/>
    </xf>
    <xf numFmtId="9" fontId="14" fillId="2" borderId="0" xfId="2" applyFont="1" applyFill="1" applyBorder="1" applyAlignment="1" applyProtection="1">
      <alignment horizontal="center"/>
      <protection hidden="1"/>
    </xf>
    <xf numFmtId="0" fontId="25" fillId="2" borderId="0" xfId="3" applyFont="1" applyFill="1" applyAlignment="1" applyProtection="1">
      <alignment horizontal="center" wrapText="1"/>
      <protection hidden="1"/>
    </xf>
    <xf numFmtId="44" fontId="27" fillId="2" borderId="0" xfId="1" applyFont="1" applyFill="1" applyBorder="1" applyAlignment="1" applyProtection="1">
      <alignment horizontal="center" vertical="center"/>
      <protection hidden="1"/>
    </xf>
    <xf numFmtId="0" fontId="26" fillId="2" borderId="0" xfId="3" quotePrefix="1" applyFont="1" applyFill="1" applyAlignment="1" applyProtection="1">
      <alignment horizontal="center"/>
      <protection hidden="1"/>
    </xf>
    <xf numFmtId="0" fontId="26" fillId="2" borderId="0" xfId="3" applyFont="1" applyFill="1" applyAlignment="1" applyProtection="1">
      <alignment horizontal="center"/>
      <protection hidden="1"/>
    </xf>
    <xf numFmtId="0" fontId="19" fillId="2" borderId="0" xfId="0" applyFont="1" applyFill="1" applyAlignment="1" applyProtection="1">
      <alignment horizontal="center"/>
      <protection hidden="1"/>
    </xf>
    <xf numFmtId="0" fontId="25" fillId="2" borderId="0" xfId="3" applyFont="1" applyFill="1" applyAlignment="1" applyProtection="1">
      <alignment horizontal="center" vertical="center" wrapText="1"/>
      <protection hidden="1"/>
    </xf>
    <xf numFmtId="44" fontId="23" fillId="2" borderId="0" xfId="1" applyFont="1" applyFill="1" applyBorder="1" applyAlignment="1" applyProtection="1">
      <alignment horizontal="center" vertical="center"/>
      <protection hidden="1"/>
    </xf>
    <xf numFmtId="0" fontId="32" fillId="2" borderId="0" xfId="3" applyFont="1" applyFill="1" applyAlignment="1" applyProtection="1">
      <alignment horizontal="center" vertical="center" wrapText="1"/>
      <protection hidden="1"/>
    </xf>
    <xf numFmtId="164" fontId="19" fillId="2" borderId="0" xfId="0" applyNumberFormat="1" applyFont="1" applyFill="1" applyAlignment="1" applyProtection="1">
      <alignment horizontal="right" vertical="center" indent="1"/>
      <protection hidden="1"/>
    </xf>
    <xf numFmtId="14" fontId="14" fillId="2" borderId="0" xfId="0" applyNumberFormat="1" applyFont="1" applyFill="1" applyAlignment="1" applyProtection="1">
      <alignment horizontal="center"/>
      <protection hidden="1"/>
    </xf>
    <xf numFmtId="0" fontId="14" fillId="2" borderId="0" xfId="0" applyFont="1" applyFill="1" applyAlignment="1" applyProtection="1">
      <alignment horizontal="center" vertical="center" wrapText="1"/>
      <protection hidden="1"/>
    </xf>
    <xf numFmtId="1" fontId="14" fillId="2" borderId="0" xfId="0" applyNumberFormat="1" applyFont="1" applyFill="1" applyAlignment="1" applyProtection="1">
      <alignment horizontal="center"/>
      <protection hidden="1"/>
    </xf>
    <xf numFmtId="0" fontId="15" fillId="2" borderId="0" xfId="0" applyFont="1" applyFill="1" applyAlignment="1" applyProtection="1">
      <alignment horizontal="center" wrapText="1"/>
      <protection hidden="1"/>
    </xf>
    <xf numFmtId="0" fontId="29" fillId="2" borderId="0" xfId="0" applyFont="1" applyFill="1" applyAlignment="1" applyProtection="1">
      <alignment horizontal="center"/>
      <protection hidden="1"/>
    </xf>
    <xf numFmtId="0" fontId="19" fillId="2" borderId="0" xfId="0" quotePrefix="1" applyFont="1" applyFill="1" applyAlignment="1" applyProtection="1">
      <alignment horizontal="center"/>
      <protection hidden="1"/>
    </xf>
    <xf numFmtId="0" fontId="19" fillId="2" borderId="0" xfId="0" applyFont="1" applyFill="1" applyAlignment="1" applyProtection="1">
      <alignment horizontal="left" vertical="center" wrapText="1"/>
      <protection hidden="1"/>
    </xf>
    <xf numFmtId="10" fontId="19" fillId="2" borderId="0" xfId="2" applyNumberFormat="1" applyFont="1" applyFill="1" applyBorder="1" applyAlignment="1" applyProtection="1">
      <alignment horizontal="center" vertical="center" wrapText="1"/>
      <protection hidden="1"/>
    </xf>
    <xf numFmtId="164" fontId="14" fillId="2" borderId="0" xfId="0" applyNumberFormat="1" applyFont="1" applyFill="1" applyAlignment="1" applyProtection="1">
      <alignment horizontal="right" vertical="center" indent="1"/>
      <protection hidden="1"/>
    </xf>
    <xf numFmtId="0" fontId="14" fillId="2" borderId="0" xfId="0" applyFont="1" applyFill="1" applyAlignment="1" applyProtection="1">
      <alignment horizontal="left" vertical="center" wrapText="1"/>
      <protection hidden="1"/>
    </xf>
    <xf numFmtId="0" fontId="21" fillId="2" borderId="0" xfId="0" applyFont="1" applyFill="1" applyAlignment="1" applyProtection="1">
      <alignment horizontal="center" vertical="center" wrapText="1"/>
      <protection hidden="1"/>
    </xf>
    <xf numFmtId="10" fontId="21" fillId="2" borderId="0" xfId="0" applyNumberFormat="1" applyFont="1" applyFill="1" applyAlignment="1" applyProtection="1">
      <alignment horizontal="center" vertical="center" wrapText="1"/>
      <protection hidden="1"/>
    </xf>
    <xf numFmtId="0" fontId="14" fillId="2" borderId="0" xfId="0" applyFont="1" applyFill="1" applyAlignment="1" applyProtection="1">
      <alignment horizontal="center"/>
      <protection hidden="1"/>
    </xf>
    <xf numFmtId="0" fontId="10" fillId="6" borderId="2" xfId="0" applyFont="1" applyFill="1" applyBorder="1" applyAlignment="1" applyProtection="1">
      <alignment horizontal="center" vertical="center" wrapText="1"/>
      <protection hidden="1"/>
    </xf>
    <xf numFmtId="0" fontId="10" fillId="6" borderId="3" xfId="0" applyFont="1" applyFill="1" applyBorder="1" applyAlignment="1" applyProtection="1">
      <alignment horizontal="center" vertical="center" wrapText="1"/>
      <protection hidden="1"/>
    </xf>
    <xf numFmtId="0" fontId="17" fillId="2" borderId="0" xfId="0" applyFont="1" applyFill="1" applyAlignment="1" applyProtection="1">
      <alignment horizontal="center" vertical="center" wrapText="1"/>
      <protection hidden="1"/>
    </xf>
    <xf numFmtId="0" fontId="14" fillId="2" borderId="0" xfId="0" applyFont="1" applyFill="1" applyAlignment="1" applyProtection="1">
      <alignment horizontal="left" vertical="center"/>
      <protection hidden="1"/>
    </xf>
    <xf numFmtId="164" fontId="14" fillId="2" borderId="0" xfId="0" applyNumberFormat="1" applyFont="1" applyFill="1" applyAlignment="1" applyProtection="1">
      <alignment horizontal="center"/>
      <protection hidden="1"/>
    </xf>
    <xf numFmtId="10" fontId="17" fillId="2" borderId="0" xfId="2" applyNumberFormat="1" applyFont="1" applyFill="1" applyBorder="1" applyAlignment="1" applyProtection="1">
      <alignment horizontal="center"/>
      <protection hidden="1"/>
    </xf>
    <xf numFmtId="0" fontId="35" fillId="2" borderId="0" xfId="0" applyFont="1" applyFill="1" applyAlignment="1" applyProtection="1">
      <alignment wrapText="1"/>
      <protection hidden="1"/>
    </xf>
    <xf numFmtId="0" fontId="17" fillId="2" borderId="0" xfId="0" applyFont="1" applyFill="1" applyProtection="1">
      <protection hidden="1"/>
    </xf>
    <xf numFmtId="0" fontId="21" fillId="2" borderId="0" xfId="0" applyFont="1" applyFill="1" applyAlignment="1" applyProtection="1">
      <alignment horizontal="right"/>
      <protection hidden="1"/>
    </xf>
    <xf numFmtId="0" fontId="36" fillId="2" borderId="0" xfId="0" applyFont="1" applyFill="1" applyProtection="1">
      <protection hidden="1"/>
    </xf>
    <xf numFmtId="0" fontId="29" fillId="2" borderId="0" xfId="0" applyFont="1" applyFill="1" applyProtection="1">
      <protection hidden="1"/>
    </xf>
  </cellXfs>
  <cellStyles count="14">
    <cellStyle name="Migliaia 2" xfId="4" xr:uid="{F60C2A72-24B6-48EC-B8B4-31D870F65513}"/>
    <cellStyle name="Migliaia 2 2" xfId="10" xr:uid="{C72144CF-002C-41D3-9ABD-7B35B0C26242}"/>
    <cellStyle name="Migliaia 3" xfId="6" xr:uid="{9BB11F62-F4C1-43C4-B249-4C0CE6EB0F7E}"/>
    <cellStyle name="Normale" xfId="0" builtinId="0"/>
    <cellStyle name="Normale 2" xfId="3" xr:uid="{2E21EC25-F02B-47FC-AB9F-D91615571511}"/>
    <cellStyle name="Normale 2 2" xfId="8" xr:uid="{C9468A6E-E3D8-40CA-9717-37E9D0CF1948}"/>
    <cellStyle name="Normale 3" xfId="5" xr:uid="{81336A89-67CC-4428-8B8F-0D88A943B64B}"/>
    <cellStyle name="Normale_Cartel1" xfId="13" xr:uid="{10BD832B-B7BF-4FE7-A9D5-865A44E15D2D}"/>
    <cellStyle name="Percentuale" xfId="2" builtinId="5"/>
    <cellStyle name="Percentuale 2" xfId="7" xr:uid="{C5EA0D57-7424-4A8C-860F-4E730A00B0F6}"/>
    <cellStyle name="Percentuale 3" xfId="11" xr:uid="{4D5B695F-CC34-4BEB-BB66-9C47B2CD2887}"/>
    <cellStyle name="Valuta" xfId="1" builtinId="4"/>
    <cellStyle name="Valuta 2" xfId="9" xr:uid="{2B46385B-3BD7-401B-9DE4-351133FEC6E7}"/>
    <cellStyle name="Valuta 3" xfId="12" xr:uid="{440F71DD-BAD8-4F5F-82C3-56598F0F7308}"/>
  </cellStyles>
  <dxfs count="2">
    <dxf>
      <font>
        <color rgb="FF00B050"/>
      </font>
    </dxf>
    <dxf>
      <font>
        <color rgb="FFFF0000"/>
      </font>
    </dxf>
  </dxfs>
  <tableStyles count="0" defaultTableStyle="TableStyleMedium2" defaultPivotStyle="PivotStyleLight16"/>
  <colors>
    <mruColors>
      <color rgb="FFFF66FF"/>
      <color rgb="FFFF4F4F"/>
      <color rgb="FFA568D2"/>
      <color rgb="FFB6D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338755</xdr:colOff>
      <xdr:row>3</xdr:row>
      <xdr:rowOff>266700</xdr:rowOff>
    </xdr:from>
    <xdr:to>
      <xdr:col>2</xdr:col>
      <xdr:colOff>2247140</xdr:colOff>
      <xdr:row>7</xdr:row>
      <xdr:rowOff>283974</xdr:rowOff>
    </xdr:to>
    <xdr:pic>
      <xdr:nvPicPr>
        <xdr:cNvPr id="2" name="Immagine 1">
          <a:extLst>
            <a:ext uri="{FF2B5EF4-FFF2-40B4-BE49-F238E27FC236}">
              <a16:creationId xmlns:a16="http://schemas.microsoft.com/office/drawing/2014/main" id="{BCD7B553-E38B-4B56-BB45-FC2487FC4A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377730" y="1438275"/>
          <a:ext cx="1908385" cy="1455549"/>
        </a:xfrm>
        <a:prstGeom prst="rect">
          <a:avLst/>
        </a:prstGeom>
        <a:effectLst>
          <a:softEdge rad="0"/>
        </a:effectLst>
      </xdr:spPr>
    </xdr:pic>
    <xdr:clientData/>
  </xdr:twoCellAnchor>
  <xdr:twoCellAnchor>
    <xdr:from>
      <xdr:col>2</xdr:col>
      <xdr:colOff>57150</xdr:colOff>
      <xdr:row>8</xdr:row>
      <xdr:rowOff>104773</xdr:rowOff>
    </xdr:from>
    <xdr:to>
      <xdr:col>3</xdr:col>
      <xdr:colOff>28575</xdr:colOff>
      <xdr:row>9</xdr:row>
      <xdr:rowOff>809624</xdr:rowOff>
    </xdr:to>
    <xdr:sp macro="" textlink="">
      <xdr:nvSpPr>
        <xdr:cNvPr id="3" name="Rettangolo con angoli arrotondati 2">
          <a:extLst>
            <a:ext uri="{FF2B5EF4-FFF2-40B4-BE49-F238E27FC236}">
              <a16:creationId xmlns:a16="http://schemas.microsoft.com/office/drawing/2014/main" id="{D546E3E0-004D-47A5-8B81-3E80A7F95E73}"/>
            </a:ext>
          </a:extLst>
        </xdr:cNvPr>
        <xdr:cNvSpPr/>
      </xdr:nvSpPr>
      <xdr:spPr>
        <a:xfrm>
          <a:off x="7096125" y="2628898"/>
          <a:ext cx="2466975" cy="10858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it-IT" sz="1400" b="1" i="1" cap="none" spc="0" baseline="0">
              <a:ln w="9525">
                <a:solidFill>
                  <a:schemeClr val="bg1"/>
                </a:solidFill>
                <a:prstDash val="solid"/>
              </a:ln>
              <a:solidFill>
                <a:schemeClr val="tx1"/>
              </a:solidFill>
              <a:effectLst>
                <a:outerShdw blurRad="12700" dist="38100" dir="2700000" algn="tl" rotWithShape="0">
                  <a:schemeClr val="bg1">
                    <a:lumMod val="50000"/>
                  </a:schemeClr>
                </a:outerShdw>
              </a:effectLst>
              <a:latin typeface="Verdana" panose="020B0604030504040204" pitchFamily="34" charset="0"/>
              <a:ea typeface="Verdana" panose="020B0604030504040204" pitchFamily="34" charset="0"/>
            </a:rPr>
            <a:t>A cura del </a:t>
          </a:r>
        </a:p>
        <a:p>
          <a:pPr algn="ctr"/>
          <a:r>
            <a:rPr lang="it-IT" sz="1400" b="1" i="1" cap="none" spc="0" baseline="0">
              <a:ln w="9525">
                <a:solidFill>
                  <a:schemeClr val="bg1"/>
                </a:solidFill>
                <a:prstDash val="solid"/>
              </a:ln>
              <a:solidFill>
                <a:schemeClr val="tx1"/>
              </a:solidFill>
              <a:effectLst>
                <a:outerShdw blurRad="12700" dist="38100" dir="2700000" algn="tl" rotWithShape="0">
                  <a:schemeClr val="bg1">
                    <a:lumMod val="50000"/>
                  </a:schemeClr>
                </a:outerShdw>
              </a:effectLst>
              <a:latin typeface="Verdana" panose="020B0604030504040204" pitchFamily="34" charset="0"/>
              <a:ea typeface="Verdana" panose="020B0604030504040204" pitchFamily="34" charset="0"/>
            </a:rPr>
            <a:t>S.A.PENS. - OR.S.A.</a:t>
          </a:r>
          <a:endParaRPr lang="it-IT" sz="300" b="1" i="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63A30-E09B-49E1-AABE-A7912B1526D9}">
  <sheetPr codeName="Foglio2"/>
  <dimension ref="A1:AB223"/>
  <sheetViews>
    <sheetView tabSelected="1" workbookViewId="0">
      <selection activeCell="A3" sqref="A3"/>
    </sheetView>
  </sheetViews>
  <sheetFormatPr defaultRowHeight="15" x14ac:dyDescent="0.25"/>
  <cols>
    <col min="1" max="1" width="66.85546875" style="9" customWidth="1"/>
    <col min="2" max="2" width="38.7109375" style="9" customWidth="1"/>
    <col min="3" max="3" width="37.42578125" style="9" customWidth="1"/>
    <col min="4" max="4" width="16.28515625" style="9" bestFit="1" customWidth="1"/>
    <col min="5" max="5" width="11.85546875" style="9" customWidth="1"/>
    <col min="6" max="6" width="9.42578125" style="9" bestFit="1" customWidth="1"/>
    <col min="7" max="7" width="13.42578125" style="9" bestFit="1" customWidth="1"/>
    <col min="8" max="8" width="9.140625" style="9"/>
    <col min="9" max="9" width="13.42578125" style="9" bestFit="1" customWidth="1"/>
    <col min="10" max="10" width="12.42578125" style="9" bestFit="1" customWidth="1"/>
    <col min="11" max="11" width="26.7109375" style="9" customWidth="1"/>
    <col min="12" max="12" width="14.85546875" style="9" bestFit="1" customWidth="1"/>
    <col min="13" max="13" width="9.42578125" style="9" bestFit="1" customWidth="1"/>
    <col min="14" max="14" width="13.42578125" style="9" bestFit="1" customWidth="1"/>
    <col min="15" max="15" width="12.42578125" style="9" bestFit="1" customWidth="1"/>
    <col min="16" max="16" width="9.42578125" style="9" bestFit="1" customWidth="1"/>
    <col min="17" max="17" width="12" style="9" bestFit="1" customWidth="1"/>
    <col min="18" max="18" width="9.140625" style="9"/>
    <col min="19" max="19" width="14.85546875" style="9" bestFit="1" customWidth="1"/>
    <col min="20" max="20" width="12.42578125" style="9" bestFit="1" customWidth="1"/>
    <col min="21" max="21" width="12.28515625" style="9" customWidth="1"/>
    <col min="22" max="22" width="11.28515625" style="9" customWidth="1"/>
    <col min="23" max="24" width="9.140625" style="9"/>
    <col min="25" max="25" width="9.42578125" style="9" bestFit="1" customWidth="1"/>
    <col min="26" max="27" width="9.140625" style="9"/>
    <col min="28" max="28" width="9.42578125" style="9" bestFit="1" customWidth="1"/>
    <col min="29" max="16384" width="9.140625" style="9"/>
  </cols>
  <sheetData>
    <row r="1" spans="1:4" ht="36" customHeight="1" thickBot="1" x14ac:dyDescent="0.3">
      <c r="A1" s="100" t="s">
        <v>38</v>
      </c>
      <c r="B1" s="101"/>
    </row>
    <row r="2" spans="1:4" ht="26.25" customHeight="1" thickBot="1" x14ac:dyDescent="0.3">
      <c r="A2" s="6" t="s">
        <v>58</v>
      </c>
      <c r="B2" s="7">
        <f>H35</f>
        <v>8.0000000000000002E-3</v>
      </c>
    </row>
    <row r="3" spans="1:4" ht="30" customHeight="1" x14ac:dyDescent="0.25">
      <c r="A3" s="2" t="s">
        <v>51</v>
      </c>
      <c r="B3" s="76">
        <v>35000</v>
      </c>
      <c r="C3" s="106" t="s">
        <v>64</v>
      </c>
    </row>
    <row r="4" spans="1:4" ht="23.25" customHeight="1" x14ac:dyDescent="0.25">
      <c r="A4" s="3" t="str">
        <f>IF(A3="Importo annuo lordo (anno precedente)","Stipendio mensile lordo (13 mensilità)","")</f>
        <v>Stipendio mensile lordo (13 mensilità)</v>
      </c>
      <c r="B4" s="4">
        <f>IF(A4="Stipendio mensile lordo (13 mensilità)",B3/13,"")</f>
        <v>2692.3076923076924</v>
      </c>
    </row>
    <row r="5" spans="1:4" ht="30" customHeight="1" x14ac:dyDescent="0.25">
      <c r="A5" s="3" t="s">
        <v>1</v>
      </c>
      <c r="B5" s="4">
        <f ca="1">IF(C105="Il programma non è più utilizzabile",0,M44)</f>
        <v>21.300167384615385</v>
      </c>
      <c r="C5" s="38"/>
      <c r="D5" s="39"/>
    </row>
    <row r="6" spans="1:4" ht="30" customHeight="1" x14ac:dyDescent="0.25">
      <c r="A6" s="5" t="s">
        <v>101</v>
      </c>
      <c r="B6" s="4">
        <f ca="1">IF(B4&lt;&gt;"",B4+B5,B3+B5)</f>
        <v>2713.6078596923076</v>
      </c>
      <c r="C6" s="38"/>
      <c r="D6" s="39"/>
    </row>
    <row r="7" spans="1:4" ht="30" customHeight="1" x14ac:dyDescent="0.25">
      <c r="A7" s="3" t="s">
        <v>25</v>
      </c>
      <c r="B7" s="4">
        <f ca="1">IF(C105="Il programma non è più utilizzabile",0,D92)</f>
        <v>7.4550585846153581</v>
      </c>
    </row>
    <row r="8" spans="1:4" ht="23.25" customHeight="1" x14ac:dyDescent="0.25">
      <c r="A8" s="3" t="s">
        <v>96</v>
      </c>
      <c r="B8" s="4">
        <f ca="1">IF(C105="Il programma non è più utilizzabile",0,G134)</f>
        <v>39.787200844433379</v>
      </c>
    </row>
    <row r="9" spans="1:4" ht="30" customHeight="1" x14ac:dyDescent="0.25">
      <c r="A9" s="5" t="s">
        <v>57</v>
      </c>
      <c r="B9" s="4">
        <f ca="1">IF(C105="Il programma non è più utilizzabile",0,D85+B8)</f>
        <v>2753.3950605367409</v>
      </c>
      <c r="C9" s="39"/>
    </row>
    <row r="10" spans="1:4" ht="66.75" customHeight="1" thickBot="1" x14ac:dyDescent="0.3">
      <c r="A10" s="11" t="s">
        <v>97</v>
      </c>
      <c r="B10" s="10">
        <f ca="1">IF(C105="Il programma non è più utilizzabile",0,I85)</f>
        <v>2062.0973481059718</v>
      </c>
    </row>
    <row r="11" spans="1:4" ht="21.75" customHeight="1" thickBot="1" x14ac:dyDescent="0.3">
      <c r="A11" s="12" t="s">
        <v>100</v>
      </c>
      <c r="B11" s="8" t="s">
        <v>65</v>
      </c>
    </row>
    <row r="12" spans="1:4" ht="15.75" x14ac:dyDescent="0.25">
      <c r="A12" s="13" t="s">
        <v>62</v>
      </c>
      <c r="B12" s="1" t="s">
        <v>59</v>
      </c>
    </row>
    <row r="13" spans="1:4" ht="15.75" x14ac:dyDescent="0.25">
      <c r="A13" s="14"/>
      <c r="B13" s="40" t="s">
        <v>63</v>
      </c>
    </row>
    <row r="14" spans="1:4" s="17" customFormat="1" ht="18.75" x14ac:dyDescent="0.3">
      <c r="A14" s="107" t="str">
        <f ca="1">IF(C105="Il programma non è più utilizzabile","Il programma non è più utilizzabile","")</f>
        <v/>
      </c>
      <c r="B14" s="108"/>
    </row>
    <row r="15" spans="1:4" s="17" customFormat="1" x14ac:dyDescent="0.25"/>
    <row r="16" spans="1:4" s="17" customFormat="1" ht="18.75" x14ac:dyDescent="0.3">
      <c r="A16" s="109" t="str">
        <f ca="1">IF(C105="Il programma non è più utilizzabile",C105,"")</f>
        <v/>
      </c>
    </row>
    <row r="17" spans="1:28" s="17" customFormat="1" ht="21" x14ac:dyDescent="0.35">
      <c r="A17" s="110"/>
    </row>
    <row r="18" spans="1:28" s="17" customFormat="1" x14ac:dyDescent="0.25"/>
    <row r="19" spans="1:28" s="17" customFormat="1" x14ac:dyDescent="0.25"/>
    <row r="20" spans="1:28" s="17" customFormat="1" x14ac:dyDescent="0.25"/>
    <row r="21" spans="1:28" s="17" customFormat="1" x14ac:dyDescent="0.25"/>
    <row r="22" spans="1:28" s="17" customFormat="1" x14ac:dyDescent="0.25"/>
    <row r="23" spans="1:28" s="17" customFormat="1" x14ac:dyDescent="0.25"/>
    <row r="24" spans="1:28" s="17" customFormat="1" x14ac:dyDescent="0.25"/>
    <row r="25" spans="1:28" s="17" customFormat="1" x14ac:dyDescent="0.25"/>
    <row r="26" spans="1:28" s="17" customFormat="1" x14ac:dyDescent="0.25"/>
    <row r="27" spans="1:28" s="17" customFormat="1" x14ac:dyDescent="0.25"/>
    <row r="28" spans="1:28" s="17" customFormat="1" x14ac:dyDescent="0.25"/>
    <row r="29" spans="1:28" s="15" customFormat="1" x14ac:dyDescent="0.25"/>
    <row r="30" spans="1:28" s="21" customFormat="1" ht="40.15" customHeight="1" x14ac:dyDescent="0.3">
      <c r="B30" s="102" t="s">
        <v>28</v>
      </c>
      <c r="C30" s="102"/>
      <c r="D30" s="102"/>
      <c r="E30" s="102"/>
      <c r="F30" s="102"/>
      <c r="G30" s="102"/>
      <c r="H30" s="102"/>
      <c r="I30" s="102"/>
      <c r="J30" s="102"/>
      <c r="K30" s="102"/>
      <c r="L30" s="102"/>
      <c r="M30" s="102"/>
      <c r="N30" s="102"/>
      <c r="O30" s="102"/>
      <c r="P30" s="102"/>
      <c r="Q30" s="102"/>
      <c r="R30" s="102"/>
      <c r="S30" s="16"/>
      <c r="T30" s="16"/>
      <c r="U30" s="16"/>
      <c r="V30" s="16"/>
      <c r="W30" s="16"/>
      <c r="X30" s="16"/>
      <c r="Y30" s="16"/>
      <c r="Z30" s="16"/>
      <c r="AA30" s="16"/>
      <c r="AB30" s="16"/>
    </row>
    <row r="31" spans="1:28" s="16" customFormat="1" x14ac:dyDescent="0.25">
      <c r="R31" s="22" t="s">
        <v>29</v>
      </c>
    </row>
    <row r="32" spans="1:28" s="16" customFormat="1" ht="21" customHeight="1" x14ac:dyDescent="0.25">
      <c r="U32" s="23" t="s">
        <v>30</v>
      </c>
      <c r="AB32" s="24">
        <f>U33</f>
        <v>598.61</v>
      </c>
    </row>
    <row r="33" spans="2:28" s="17" customFormat="1" ht="14.45" customHeight="1" x14ac:dyDescent="0.25">
      <c r="B33" s="25"/>
      <c r="C33" s="25"/>
      <c r="D33" s="25"/>
      <c r="E33" s="25"/>
      <c r="F33" s="25"/>
      <c r="G33" s="25"/>
      <c r="H33" s="25"/>
      <c r="I33" s="25"/>
      <c r="J33" s="25"/>
      <c r="K33" s="25"/>
      <c r="L33" s="25"/>
      <c r="M33" s="25"/>
      <c r="N33" s="25"/>
      <c r="O33" s="25"/>
      <c r="P33" s="25"/>
      <c r="Q33" s="25"/>
      <c r="R33" s="26"/>
      <c r="T33" s="17" t="s">
        <v>5</v>
      </c>
      <c r="U33" s="27">
        <v>598.61</v>
      </c>
      <c r="V33" s="17" t="s">
        <v>99</v>
      </c>
    </row>
    <row r="34" spans="2:28" s="17" customFormat="1" ht="14.45" customHeight="1" x14ac:dyDescent="0.25">
      <c r="C34" s="103" t="s">
        <v>31</v>
      </c>
      <c r="D34" s="103"/>
      <c r="E34" s="103"/>
      <c r="F34" s="103"/>
      <c r="G34" s="103"/>
      <c r="H34" s="104">
        <f>IF(A3="Importo annuo lordo (anno precedente)",B3/13,B3)</f>
        <v>2692.3076923076924</v>
      </c>
      <c r="I34" s="104"/>
      <c r="J34" s="25"/>
      <c r="K34" s="17" t="s">
        <v>99</v>
      </c>
      <c r="M34" s="18">
        <v>598.61</v>
      </c>
      <c r="Q34" s="25"/>
      <c r="R34" s="26"/>
      <c r="T34" s="17" t="s">
        <v>6</v>
      </c>
      <c r="U34" s="28">
        <f>U33*4</f>
        <v>2394.44</v>
      </c>
      <c r="V34" s="17" t="s">
        <v>26</v>
      </c>
    </row>
    <row r="35" spans="2:28" s="17" customFormat="1" ht="18.75" x14ac:dyDescent="0.3">
      <c r="C35" s="103" t="s">
        <v>32</v>
      </c>
      <c r="D35" s="103"/>
      <c r="E35" s="103"/>
      <c r="F35" s="103"/>
      <c r="G35" s="103"/>
      <c r="H35" s="105">
        <v>8.0000000000000002E-3</v>
      </c>
      <c r="I35" s="105"/>
      <c r="J35" s="25"/>
      <c r="K35" s="29"/>
      <c r="L35" s="29"/>
      <c r="M35" s="29"/>
      <c r="T35" s="17" t="s">
        <v>7</v>
      </c>
      <c r="U35" s="28">
        <f>U33*5</f>
        <v>2993.05</v>
      </c>
      <c r="V35" s="17" t="s">
        <v>27</v>
      </c>
    </row>
    <row r="36" spans="2:28" s="17" customFormat="1" ht="14.45" customHeight="1" x14ac:dyDescent="0.25"/>
    <row r="37" spans="2:28" s="17" customFormat="1" ht="14.45" customHeight="1" x14ac:dyDescent="0.25">
      <c r="G37" s="99"/>
      <c r="H37" s="99"/>
      <c r="I37" s="99"/>
      <c r="J37" s="30"/>
      <c r="K37" s="82" t="s">
        <v>8</v>
      </c>
      <c r="L37" s="82"/>
      <c r="M37" s="82"/>
      <c r="N37" s="82"/>
      <c r="O37" s="30"/>
      <c r="P37" s="82" t="s">
        <v>9</v>
      </c>
      <c r="Q37" s="82"/>
    </row>
    <row r="38" spans="2:28" s="17" customFormat="1" ht="14.45" customHeight="1" x14ac:dyDescent="0.25">
      <c r="C38" s="96" t="str">
        <f>CONCATENATE(V34," €  ")</f>
        <v xml:space="preserve">Trattamento Minimo x 4 €  </v>
      </c>
      <c r="D38" s="96"/>
      <c r="E38" s="96"/>
      <c r="F38" s="96"/>
      <c r="G38" s="95">
        <f>IF(H34&lt;=U34,H34,U34)</f>
        <v>2394.44</v>
      </c>
      <c r="H38" s="95"/>
      <c r="I38" s="95"/>
      <c r="J38" s="30"/>
      <c r="K38" s="97" t="str">
        <f>"100% di "&amp;TEXT($H$35,"#0,00%")&amp;" ="&amp; TEXT($H$35,"#0,00%")</f>
        <v>100% di 0,80% =0,80%</v>
      </c>
      <c r="L38" s="98">
        <f>H35</f>
        <v>8.0000000000000002E-3</v>
      </c>
      <c r="M38" s="95">
        <f>G38*H35</f>
        <v>19.155519999999999</v>
      </c>
      <c r="N38" s="95"/>
      <c r="O38" s="30"/>
      <c r="P38" s="95">
        <f>G38+M38</f>
        <v>2413.5955199999999</v>
      </c>
      <c r="Q38" s="95"/>
      <c r="S38" s="77">
        <v>1</v>
      </c>
    </row>
    <row r="39" spans="2:28" s="17" customFormat="1" ht="14.45" customHeight="1" x14ac:dyDescent="0.25">
      <c r="C39" s="96"/>
      <c r="D39" s="96"/>
      <c r="E39" s="96"/>
      <c r="F39" s="96"/>
      <c r="G39" s="95"/>
      <c r="H39" s="95"/>
      <c r="I39" s="95"/>
      <c r="J39" s="30"/>
      <c r="K39" s="97"/>
      <c r="L39" s="97"/>
      <c r="M39" s="95"/>
      <c r="N39" s="95"/>
      <c r="O39" s="30"/>
      <c r="P39" s="95"/>
      <c r="Q39" s="95"/>
      <c r="S39" s="77"/>
    </row>
    <row r="40" spans="2:28" s="17" customFormat="1" ht="14.45" customHeight="1" x14ac:dyDescent="0.25">
      <c r="C40" s="96" t="s">
        <v>10</v>
      </c>
      <c r="D40" s="96"/>
      <c r="E40" s="96"/>
      <c r="F40" s="96"/>
      <c r="G40" s="95">
        <f>IF(AND(H34&gt;U34,H34&lt;=U35)=TRUE,H34-U34,0)+IF(H34&gt;U35,U35-U34,0)</f>
        <v>297.86769230769232</v>
      </c>
      <c r="H40" s="95"/>
      <c r="I40" s="95"/>
      <c r="J40" s="30"/>
      <c r="K40" s="97" t="str">
        <f>"90% di "&amp;TEXT($H$35,"#0,00%")&amp;" ="&amp;TEXT($H$35*S40,"#0,00%")</f>
        <v>90% di 0,80% =0,72%</v>
      </c>
      <c r="L40" s="98">
        <f>H35*90%</f>
        <v>7.2000000000000007E-3</v>
      </c>
      <c r="M40" s="95">
        <f>G40*H35*90%</f>
        <v>2.1446473846153848</v>
      </c>
      <c r="N40" s="95"/>
      <c r="O40" s="30"/>
      <c r="P40" s="95">
        <f>G40+M40</f>
        <v>300.01233969230771</v>
      </c>
      <c r="Q40" s="95"/>
      <c r="S40" s="77">
        <v>0.9</v>
      </c>
      <c r="T40" s="32" t="s">
        <v>53</v>
      </c>
      <c r="U40" s="17">
        <v>614.77</v>
      </c>
      <c r="V40" s="41" t="s">
        <v>54</v>
      </c>
      <c r="AB40" s="17" t="e">
        <f>TEXT(#REF!,"#,##")</f>
        <v>#REF!</v>
      </c>
    </row>
    <row r="41" spans="2:28" s="17" customFormat="1" ht="14.45" customHeight="1" x14ac:dyDescent="0.25">
      <c r="C41" s="96"/>
      <c r="D41" s="96"/>
      <c r="E41" s="96"/>
      <c r="F41" s="96"/>
      <c r="G41" s="95"/>
      <c r="H41" s="95"/>
      <c r="I41" s="95"/>
      <c r="J41" s="30"/>
      <c r="K41" s="97"/>
      <c r="L41" s="97"/>
      <c r="M41" s="95"/>
      <c r="N41" s="95"/>
      <c r="O41" s="30"/>
      <c r="P41" s="95"/>
      <c r="Q41" s="95"/>
      <c r="S41" s="77"/>
    </row>
    <row r="42" spans="2:28" s="17" customFormat="1" ht="14.45" customHeight="1" x14ac:dyDescent="0.25">
      <c r="B42" s="33"/>
      <c r="C42" s="96" t="s">
        <v>11</v>
      </c>
      <c r="D42" s="96"/>
      <c r="E42" s="96"/>
      <c r="F42" s="96"/>
      <c r="G42" s="95">
        <f>IF(H34&gt;U35,H34-U35,0)</f>
        <v>0</v>
      </c>
      <c r="H42" s="95"/>
      <c r="I42" s="95"/>
      <c r="J42" s="30"/>
      <c r="K42" s="97" t="str">
        <f>"75% di "&amp;TEXT($H$35,"#0,00%")&amp;" ="&amp;TEXT($H$35*S42,"#0,00%")</f>
        <v>75% di 0,80% =0,60%</v>
      </c>
      <c r="L42" s="98">
        <f>H35*72%</f>
        <v>5.7599999999999995E-3</v>
      </c>
      <c r="M42" s="95">
        <f>G42*H35*75%</f>
        <v>0</v>
      </c>
      <c r="N42" s="95"/>
      <c r="O42" s="30"/>
      <c r="P42" s="95">
        <f>G42+M42</f>
        <v>0</v>
      </c>
      <c r="Q42" s="95"/>
      <c r="S42" s="77">
        <v>0.75</v>
      </c>
      <c r="T42" s="34" t="s">
        <v>55</v>
      </c>
      <c r="U42" s="35">
        <v>617.9</v>
      </c>
      <c r="V42" s="17" t="s">
        <v>56</v>
      </c>
      <c r="Y42" s="17">
        <f>W42+W42*1%</f>
        <v>0</v>
      </c>
    </row>
    <row r="43" spans="2:28" s="17" customFormat="1" ht="14.45" customHeight="1" x14ac:dyDescent="0.25">
      <c r="B43" s="33"/>
      <c r="C43" s="96"/>
      <c r="D43" s="96"/>
      <c r="E43" s="96"/>
      <c r="F43" s="96"/>
      <c r="G43" s="95"/>
      <c r="H43" s="95"/>
      <c r="I43" s="95"/>
      <c r="J43" s="30"/>
      <c r="K43" s="97"/>
      <c r="L43" s="97"/>
      <c r="M43" s="95"/>
      <c r="N43" s="95"/>
      <c r="O43" s="30"/>
      <c r="P43" s="95"/>
      <c r="Q43" s="95"/>
      <c r="S43" s="77"/>
    </row>
    <row r="44" spans="2:28" s="17" customFormat="1" ht="14.45" customHeight="1" x14ac:dyDescent="0.25">
      <c r="B44" s="33"/>
      <c r="C44" s="93" t="s">
        <v>12</v>
      </c>
      <c r="D44" s="93"/>
      <c r="E44" s="93"/>
      <c r="F44" s="93"/>
      <c r="G44" s="86">
        <f>SUM(G38:I43)</f>
        <v>2692.3076923076924</v>
      </c>
      <c r="H44" s="86"/>
      <c r="I44" s="86"/>
      <c r="J44" s="36"/>
      <c r="K44" s="93" t="s">
        <v>39</v>
      </c>
      <c r="L44" s="94">
        <f>IFERROR(M44/G44,"n.d.")</f>
        <v>7.9114907428571423E-3</v>
      </c>
      <c r="M44" s="86">
        <f>SUM(M38:N43)</f>
        <v>21.300167384615385</v>
      </c>
      <c r="N44" s="86"/>
      <c r="O44" s="36"/>
      <c r="P44" s="86">
        <f>G44+M44</f>
        <v>2713.6078596923076</v>
      </c>
      <c r="Q44" s="86"/>
    </row>
    <row r="45" spans="2:28" s="17" customFormat="1" ht="14.45" customHeight="1" x14ac:dyDescent="0.25">
      <c r="B45" s="33"/>
      <c r="C45" s="93"/>
      <c r="D45" s="93"/>
      <c r="E45" s="93"/>
      <c r="F45" s="93"/>
      <c r="G45" s="86"/>
      <c r="H45" s="86"/>
      <c r="I45" s="86"/>
      <c r="J45" s="36"/>
      <c r="K45" s="93"/>
      <c r="L45" s="94"/>
      <c r="M45" s="86"/>
      <c r="N45" s="86"/>
      <c r="O45" s="36"/>
      <c r="P45" s="86"/>
      <c r="Q45" s="86"/>
    </row>
    <row r="46" spans="2:28" s="17" customFormat="1" ht="13.5" customHeight="1" x14ac:dyDescent="0.25">
      <c r="B46" s="33"/>
      <c r="C46" s="33"/>
      <c r="D46" s="33"/>
      <c r="E46" s="33"/>
      <c r="F46" s="33"/>
      <c r="G46" s="33"/>
      <c r="H46" s="33"/>
      <c r="I46" s="33"/>
      <c r="J46" s="33"/>
      <c r="K46" s="33"/>
      <c r="L46" s="33"/>
      <c r="M46" s="33"/>
      <c r="N46" s="33"/>
      <c r="O46" s="33"/>
      <c r="P46" s="33"/>
      <c r="Q46" s="33"/>
      <c r="R46" s="33"/>
    </row>
    <row r="47" spans="2:28" s="15" customFormat="1" x14ac:dyDescent="0.25"/>
    <row r="48" spans="2:28" s="15" customFormat="1" x14ac:dyDescent="0.25"/>
    <row r="49" spans="2:22" s="15" customFormat="1" x14ac:dyDescent="0.25"/>
    <row r="50" spans="2:22" s="15" customFormat="1" x14ac:dyDescent="0.25">
      <c r="H50" s="90" t="s">
        <v>42</v>
      </c>
      <c r="I50" s="90"/>
      <c r="J50" s="90"/>
    </row>
    <row r="51" spans="2:22" s="15" customFormat="1" x14ac:dyDescent="0.25"/>
    <row r="52" spans="2:22" s="17" customFormat="1" x14ac:dyDescent="0.25"/>
    <row r="53" spans="2:22" s="17" customFormat="1" x14ac:dyDescent="0.25"/>
    <row r="54" spans="2:22" s="42" customFormat="1" ht="12.75" x14ac:dyDescent="0.2">
      <c r="C54" s="43"/>
      <c r="D54" s="44"/>
      <c r="I54" s="42" t="s">
        <v>36</v>
      </c>
      <c r="N54" s="42" t="s">
        <v>37</v>
      </c>
      <c r="S54" s="45" t="s">
        <v>44</v>
      </c>
      <c r="T54" s="45"/>
      <c r="U54" s="45"/>
      <c r="V54" s="45"/>
    </row>
    <row r="55" spans="2:22" s="42" customFormat="1" x14ac:dyDescent="0.2">
      <c r="B55" s="42" t="s">
        <v>41</v>
      </c>
      <c r="C55" s="43"/>
      <c r="D55" s="46">
        <f>IF(A3="Importo annuo lordo (anno precedente)",B3,B3*13)</f>
        <v>35000</v>
      </c>
      <c r="E55" s="47"/>
      <c r="F55" s="48"/>
      <c r="G55" s="47"/>
      <c r="I55" s="49">
        <f>D55/12</f>
        <v>2916.6666666666665</v>
      </c>
      <c r="J55" s="47"/>
      <c r="K55" s="48"/>
      <c r="L55" s="47"/>
      <c r="N55" s="49">
        <f>D55/13</f>
        <v>2692.3076923076924</v>
      </c>
      <c r="O55" s="47"/>
      <c r="P55" s="48"/>
      <c r="Q55" s="47"/>
      <c r="S55" s="46">
        <f>D85</f>
        <v>2713.6078596923076</v>
      </c>
      <c r="T55" s="47"/>
      <c r="U55" s="48"/>
      <c r="V55" s="47"/>
    </row>
    <row r="56" spans="2:22" s="42" customFormat="1" x14ac:dyDescent="0.2">
      <c r="C56" s="43"/>
      <c r="D56" s="47"/>
      <c r="E56" s="47"/>
      <c r="F56" s="48"/>
      <c r="G56" s="48" t="s">
        <v>14</v>
      </c>
      <c r="I56" s="47"/>
      <c r="J56" s="47"/>
      <c r="K56" s="48"/>
      <c r="L56" s="48" t="s">
        <v>14</v>
      </c>
      <c r="N56" s="47"/>
      <c r="O56" s="47"/>
      <c r="P56" s="48"/>
      <c r="Q56" s="48" t="s">
        <v>14</v>
      </c>
      <c r="S56" s="47"/>
      <c r="T56" s="47"/>
      <c r="U56" s="48"/>
      <c r="V56" s="48" t="s">
        <v>14</v>
      </c>
    </row>
    <row r="57" spans="2:22" s="42" customFormat="1" ht="15.75" x14ac:dyDescent="0.25">
      <c r="C57" s="43"/>
      <c r="D57" s="50">
        <v>0</v>
      </c>
      <c r="E57" s="50">
        <v>28000</v>
      </c>
      <c r="F57" s="51">
        <v>0.23</v>
      </c>
      <c r="G57" s="52">
        <f>IF(D55&gt;E57,E57*F57,D55*F57)</f>
        <v>6440</v>
      </c>
      <c r="I57" s="53">
        <v>0</v>
      </c>
      <c r="J57" s="53">
        <f t="shared" ref="J57:J58" si="0">E57/12</f>
        <v>2333.3333333333335</v>
      </c>
      <c r="K57" s="51">
        <v>0.23</v>
      </c>
      <c r="L57" s="53">
        <f>IF(I55&gt;J57,J57*K57,I55*K57)</f>
        <v>536.66666666666674</v>
      </c>
      <c r="N57" s="53">
        <v>0</v>
      </c>
      <c r="O57" s="53">
        <f>E57/13</f>
        <v>2153.8461538461538</v>
      </c>
      <c r="P57" s="51">
        <v>0.23</v>
      </c>
      <c r="Q57" s="52">
        <f>IF(N55&gt;O57,O57*P57,N55*P57)</f>
        <v>495.38461538461542</v>
      </c>
      <c r="S57" s="53">
        <v>0</v>
      </c>
      <c r="T57" s="53">
        <f>E57/13</f>
        <v>2153.8461538461538</v>
      </c>
      <c r="U57" s="51">
        <v>0.23</v>
      </c>
      <c r="V57" s="52">
        <f>IF(S55&gt;T57,T57*U57,S55*U57)</f>
        <v>495.38461538461542</v>
      </c>
    </row>
    <row r="58" spans="2:22" s="42" customFormat="1" ht="15.75" x14ac:dyDescent="0.25">
      <c r="C58" s="43"/>
      <c r="D58" s="50">
        <f>E57+0.01</f>
        <v>28000.01</v>
      </c>
      <c r="E58" s="50">
        <v>50000</v>
      </c>
      <c r="F58" s="51">
        <v>0.35</v>
      </c>
      <c r="G58" s="52">
        <f>IF(D55&gt;E70,(E58-E57)*F70,IF(D55&lt;D70,0,(D55-D70)*F70))</f>
        <v>2449.9965000000002</v>
      </c>
      <c r="I58" s="53">
        <f>J57+0.01</f>
        <v>2333.3433333333337</v>
      </c>
      <c r="J58" s="53">
        <f t="shared" si="0"/>
        <v>4166.666666666667</v>
      </c>
      <c r="K58" s="51">
        <v>0.35</v>
      </c>
      <c r="L58" s="53">
        <f>IF(I55&gt;J58,(J58-I58)*K58,IF(I55&lt;I58,0,(I55-I58)*K58))</f>
        <v>204.16316666666648</v>
      </c>
      <c r="N58" s="53">
        <f>O57+0.01</f>
        <v>2153.856153846154</v>
      </c>
      <c r="O58" s="53">
        <f>E58/13</f>
        <v>3846.1538461538462</v>
      </c>
      <c r="P58" s="51">
        <v>0.35</v>
      </c>
      <c r="Q58" s="52">
        <f>IF(N55&gt;O58,(O58-N58)*P58,IF(N55&lt;N58,0,(N55-N58)*P58))</f>
        <v>188.45803846153842</v>
      </c>
      <c r="S58" s="53">
        <f>T57+0.01</f>
        <v>2153.856153846154</v>
      </c>
      <c r="T58" s="53">
        <f t="shared" ref="T58:T59" si="1">E58/13</f>
        <v>3846.1538461538462</v>
      </c>
      <c r="U58" s="51">
        <v>0.35</v>
      </c>
      <c r="V58" s="52">
        <f>IF(S55&gt;T58,(T58-S58)*U58,IF(S55&lt;S58,0,(S55-S58)*U58))</f>
        <v>195.91309704615372</v>
      </c>
    </row>
    <row r="59" spans="2:22" s="42" customFormat="1" ht="15.75" x14ac:dyDescent="0.25">
      <c r="C59" s="43"/>
      <c r="D59" s="50">
        <f>E58+0.01</f>
        <v>50000.01</v>
      </c>
      <c r="E59" s="50"/>
      <c r="F59" s="51">
        <v>0.43</v>
      </c>
      <c r="G59" s="52">
        <f>IF(D55&gt;D59,(D55-D59)*F59,0)</f>
        <v>0</v>
      </c>
      <c r="I59" s="53">
        <f t="shared" ref="I59" si="2">J58+0.01</f>
        <v>4166.6766666666672</v>
      </c>
      <c r="J59" s="53"/>
      <c r="K59" s="51">
        <v>0.43</v>
      </c>
      <c r="L59" s="54">
        <f>IF(I55&gt;I59,(I55-I59)*K59,0)</f>
        <v>0</v>
      </c>
      <c r="N59" s="53">
        <f t="shared" ref="N59" si="3">O58+0.01</f>
        <v>3846.1638461538464</v>
      </c>
      <c r="O59" s="53">
        <f>E59/13</f>
        <v>0</v>
      </c>
      <c r="P59" s="51">
        <v>0.43</v>
      </c>
      <c r="Q59" s="52">
        <f>IF(N55&gt;N59,(N55-N59)*P59,0)</f>
        <v>0</v>
      </c>
      <c r="S59" s="53">
        <f t="shared" ref="S59" si="4">T58+0.01</f>
        <v>3846.1638461538464</v>
      </c>
      <c r="T59" s="53">
        <f t="shared" si="1"/>
        <v>0</v>
      </c>
      <c r="U59" s="51">
        <v>0.43</v>
      </c>
      <c r="V59" s="52">
        <f>IF(S55&gt;S59,(S55-S59)*U59,0)</f>
        <v>0</v>
      </c>
    </row>
    <row r="60" spans="2:22" s="42" customFormat="1" ht="12.75" x14ac:dyDescent="0.2">
      <c r="C60" s="43"/>
      <c r="F60" s="43"/>
      <c r="K60" s="43"/>
      <c r="L60" s="43"/>
      <c r="M60" s="43"/>
      <c r="P60" s="43"/>
      <c r="U60" s="43"/>
    </row>
    <row r="61" spans="2:22" s="42" customFormat="1" ht="12.75" x14ac:dyDescent="0.2">
      <c r="C61" s="43"/>
      <c r="F61" s="43"/>
      <c r="K61" s="43"/>
      <c r="L61" s="43"/>
      <c r="M61" s="43"/>
      <c r="P61" s="43"/>
      <c r="U61" s="43"/>
    </row>
    <row r="62" spans="2:22" s="42" customFormat="1" ht="15.75" x14ac:dyDescent="0.25">
      <c r="C62" s="43"/>
      <c r="F62" s="43" t="s">
        <v>15</v>
      </c>
      <c r="G62" s="55">
        <f>SUM(G57:G59)</f>
        <v>8889.9965000000011</v>
      </c>
      <c r="K62" s="43" t="s">
        <v>15</v>
      </c>
      <c r="L62" s="56">
        <f>SUM(L57:L59)</f>
        <v>740.82983333333323</v>
      </c>
      <c r="P62" s="43" t="s">
        <v>15</v>
      </c>
      <c r="Q62" s="57">
        <f>SUM(Q57:Q59)</f>
        <v>683.84265384615378</v>
      </c>
      <c r="U62" s="43" t="s">
        <v>15</v>
      </c>
      <c r="V62" s="56">
        <f>SUM(V57:V59)</f>
        <v>691.29771243076914</v>
      </c>
    </row>
    <row r="63" spans="2:22" s="42" customFormat="1" ht="12.75" x14ac:dyDescent="0.2">
      <c r="C63" s="43"/>
      <c r="G63" s="42" t="s">
        <v>13</v>
      </c>
      <c r="L63" s="42" t="s">
        <v>16</v>
      </c>
      <c r="Q63" s="42" t="s">
        <v>4</v>
      </c>
      <c r="V63" s="42" t="s">
        <v>23</v>
      </c>
    </row>
    <row r="64" spans="2:22" s="42" customFormat="1" ht="12.75" x14ac:dyDescent="0.2">
      <c r="C64" s="43"/>
      <c r="P64" s="42" t="s">
        <v>22</v>
      </c>
      <c r="Q64" s="58">
        <f>N55-Q62</f>
        <v>2008.4650384615386</v>
      </c>
    </row>
    <row r="65" spans="2:22" s="42" customFormat="1" ht="21" x14ac:dyDescent="0.35">
      <c r="C65" s="91" t="s">
        <v>40</v>
      </c>
      <c r="D65" s="91"/>
      <c r="E65" s="91"/>
      <c r="F65" s="91"/>
      <c r="G65" s="91"/>
      <c r="H65" s="92" t="s">
        <v>33</v>
      </c>
      <c r="I65" s="92"/>
      <c r="J65" s="92"/>
      <c r="K65" s="92"/>
      <c r="L65" s="92"/>
      <c r="N65" s="80" t="s">
        <v>48</v>
      </c>
      <c r="O65" s="81"/>
      <c r="P65" s="81"/>
      <c r="Q65" s="81"/>
      <c r="S65" s="80" t="s">
        <v>49</v>
      </c>
      <c r="T65" s="81"/>
      <c r="U65" s="81"/>
      <c r="V65" s="81"/>
    </row>
    <row r="66" spans="2:22" s="42" customFormat="1" x14ac:dyDescent="0.25">
      <c r="C66" s="82" t="s">
        <v>47</v>
      </c>
      <c r="D66" s="82"/>
      <c r="E66" s="82"/>
      <c r="F66" s="82"/>
      <c r="G66" s="82"/>
      <c r="H66" s="82" t="s">
        <v>34</v>
      </c>
      <c r="I66" s="82"/>
      <c r="J66" s="82"/>
      <c r="K66" s="82"/>
      <c r="L66" s="82"/>
      <c r="N66" s="59" t="s">
        <v>35</v>
      </c>
      <c r="O66" s="59"/>
      <c r="P66" s="59"/>
      <c r="Q66" s="59"/>
      <c r="S66" s="59" t="s">
        <v>35</v>
      </c>
      <c r="T66" s="59"/>
      <c r="U66" s="59"/>
      <c r="V66" s="59"/>
    </row>
    <row r="67" spans="2:22" s="42" customFormat="1" ht="18.75" x14ac:dyDescent="0.3">
      <c r="C67" s="17"/>
      <c r="D67" s="60">
        <f>IF(A3="Importo annuo lordo (anno precedente)",B3,B3*13)</f>
        <v>35000</v>
      </c>
      <c r="E67" s="17"/>
      <c r="F67" s="17"/>
      <c r="G67" s="17"/>
      <c r="H67" s="17"/>
      <c r="I67" s="61">
        <f>D67/12</f>
        <v>2916.6666666666665</v>
      </c>
      <c r="J67" s="17"/>
      <c r="K67" s="17"/>
      <c r="L67" s="17"/>
      <c r="N67" s="61">
        <f>D67/13</f>
        <v>2692.3076923076924</v>
      </c>
      <c r="O67" s="17"/>
      <c r="P67" s="17"/>
      <c r="Q67" s="17"/>
      <c r="S67" s="60">
        <f>D85</f>
        <v>2713.6078596923076</v>
      </c>
      <c r="T67" s="17"/>
      <c r="U67" s="17"/>
      <c r="V67" s="17"/>
    </row>
    <row r="68" spans="2:22" s="42" customFormat="1" x14ac:dyDescent="0.25">
      <c r="C68" s="17"/>
      <c r="D68" s="17"/>
      <c r="E68" s="17"/>
      <c r="F68" s="17"/>
      <c r="G68" s="31" t="s">
        <v>0</v>
      </c>
      <c r="H68" s="17"/>
      <c r="I68" s="17"/>
      <c r="J68" s="17"/>
      <c r="K68" s="17"/>
      <c r="L68" s="31" t="s">
        <v>0</v>
      </c>
      <c r="N68" s="17"/>
      <c r="O68" s="17"/>
      <c r="P68" s="17"/>
      <c r="Q68" s="31" t="s">
        <v>0</v>
      </c>
      <c r="S68" s="17"/>
      <c r="T68" s="17"/>
      <c r="U68" s="17"/>
      <c r="V68" s="31" t="s">
        <v>0</v>
      </c>
    </row>
    <row r="69" spans="2:22" s="42" customFormat="1" x14ac:dyDescent="0.25">
      <c r="C69" s="17"/>
      <c r="D69" s="62"/>
      <c r="E69" s="62">
        <v>28000</v>
      </c>
      <c r="F69" s="63">
        <v>0.23</v>
      </c>
      <c r="G69" s="62">
        <f>IF(D67&gt;E69,E69*F69,$D$17*F69)</f>
        <v>6440</v>
      </c>
      <c r="H69" s="17"/>
      <c r="I69" s="62"/>
      <c r="J69" s="62">
        <f>E69/12</f>
        <v>2333.3333333333335</v>
      </c>
      <c r="K69" s="63">
        <v>0.23</v>
      </c>
      <c r="L69" s="62">
        <f>IF(I67&gt;J69,J69*K69,I67*K69)</f>
        <v>536.66666666666674</v>
      </c>
      <c r="N69" s="53">
        <v>0</v>
      </c>
      <c r="O69" s="53">
        <f>E69/13</f>
        <v>2153.8461538461538</v>
      </c>
      <c r="P69" s="63">
        <v>0.23</v>
      </c>
      <c r="Q69" s="62">
        <f>IF(N67&gt;O69,O69*P69,N67*P69)</f>
        <v>495.38461538461542</v>
      </c>
      <c r="S69" s="53">
        <v>0</v>
      </c>
      <c r="T69" s="53">
        <f>E69/13</f>
        <v>2153.8461538461538</v>
      </c>
      <c r="U69" s="63">
        <v>0.23</v>
      </c>
      <c r="V69" s="62">
        <f>IF(S67&gt;T69,T69*U69,S67*U69)</f>
        <v>495.38461538461542</v>
      </c>
    </row>
    <row r="70" spans="2:22" s="42" customFormat="1" x14ac:dyDescent="0.25">
      <c r="C70" s="17"/>
      <c r="D70" s="62">
        <f>E69+0.01</f>
        <v>28000.01</v>
      </c>
      <c r="E70" s="62">
        <v>50000</v>
      </c>
      <c r="F70" s="63">
        <v>0.35</v>
      </c>
      <c r="G70" s="62">
        <f>IF(D67&gt;E70,(E70-D70)*F70,IF(D67&lt;D70,0,(D67-D70)*F70))</f>
        <v>2449.9965000000002</v>
      </c>
      <c r="H70" s="17"/>
      <c r="I70" s="62">
        <f>J69+0.01</f>
        <v>2333.3433333333337</v>
      </c>
      <c r="J70" s="62">
        <f>E70/12</f>
        <v>4166.666666666667</v>
      </c>
      <c r="K70" s="63">
        <v>0.35</v>
      </c>
      <c r="L70" s="62">
        <f>IF(I67&gt;J70,(J70-I70)*K70,IF(I67&lt;I70,0,(I67-I70)*K70))</f>
        <v>204.16316666666648</v>
      </c>
      <c r="N70" s="53">
        <f>O69+0.01</f>
        <v>2153.856153846154</v>
      </c>
      <c r="O70" s="53">
        <f>E70/13</f>
        <v>3846.1538461538462</v>
      </c>
      <c r="P70" s="63">
        <v>0.35</v>
      </c>
      <c r="Q70" s="62">
        <f>IF(N67&gt;O70,(O70-N70)*P70,IF(N67&lt;N70,0,(N67-N70)*P70))</f>
        <v>188.45803846153842</v>
      </c>
      <c r="S70" s="53">
        <f>T69+0.01</f>
        <v>2153.856153846154</v>
      </c>
      <c r="T70" s="53">
        <f>E70/13</f>
        <v>3846.1538461538462</v>
      </c>
      <c r="U70" s="63">
        <v>0.35</v>
      </c>
      <c r="V70" s="62">
        <f>IF(S67&gt;T70,(T70-S70)*U70,IF(S67&lt;S70,0,(S67-S70)*U70))</f>
        <v>195.91309704615372</v>
      </c>
    </row>
    <row r="71" spans="2:22" s="42" customFormat="1" x14ac:dyDescent="0.25">
      <c r="C71" s="17"/>
      <c r="D71" s="62">
        <f>E70+0.01</f>
        <v>50000.01</v>
      </c>
      <c r="E71" s="62"/>
      <c r="F71" s="63">
        <v>0.43</v>
      </c>
      <c r="G71" s="62">
        <f>IF(D67&gt;D71,(D67-D71)*F71,0)</f>
        <v>0</v>
      </c>
      <c r="H71" s="17"/>
      <c r="I71" s="62">
        <f>J70+0.01</f>
        <v>4166.6766666666672</v>
      </c>
      <c r="J71" s="62"/>
      <c r="K71" s="63">
        <v>0.43</v>
      </c>
      <c r="L71" s="62">
        <f>IF(I67&gt;I71,(I67-I71)*K71,0)</f>
        <v>0</v>
      </c>
      <c r="N71" s="53">
        <f t="shared" ref="N71" si="5">O70+0.01</f>
        <v>3846.1638461538464</v>
      </c>
      <c r="O71" s="53">
        <f>E71/13</f>
        <v>0</v>
      </c>
      <c r="P71" s="63">
        <v>0.43</v>
      </c>
      <c r="Q71" s="62">
        <f>IF(N67&gt;N71,(N67-N71)*P71,0)</f>
        <v>0</v>
      </c>
      <c r="S71" s="53">
        <f t="shared" ref="S71" si="6">T70+0.01</f>
        <v>3846.1638461538464</v>
      </c>
      <c r="T71" s="53">
        <f>J71/13</f>
        <v>0</v>
      </c>
      <c r="U71" s="63">
        <v>0.43</v>
      </c>
      <c r="V71" s="62">
        <f>IF(S67&gt;S71,(S67-S71)*U71,0)</f>
        <v>0</v>
      </c>
    </row>
    <row r="72" spans="2:22" s="42" customFormat="1" x14ac:dyDescent="0.25">
      <c r="C72" s="17"/>
      <c r="D72" s="17"/>
      <c r="E72" s="17"/>
      <c r="F72" s="17"/>
      <c r="G72" s="17"/>
      <c r="H72" s="17"/>
      <c r="I72" s="17"/>
      <c r="J72" s="17"/>
      <c r="K72" s="17"/>
      <c r="L72" s="17"/>
      <c r="N72" s="17"/>
      <c r="O72" s="17"/>
      <c r="P72" s="17"/>
      <c r="Q72" s="17"/>
      <c r="S72" s="17"/>
      <c r="T72" s="17"/>
      <c r="U72" s="17"/>
      <c r="V72" s="17"/>
    </row>
    <row r="73" spans="2:22" s="42" customFormat="1" ht="18.75" x14ac:dyDescent="0.3">
      <c r="C73" s="17"/>
      <c r="D73" s="17"/>
      <c r="E73" s="17"/>
      <c r="F73" s="17"/>
      <c r="G73" s="61">
        <f>SUM(G69:G72)</f>
        <v>8889.9965000000011</v>
      </c>
      <c r="H73" s="17"/>
      <c r="I73" s="17"/>
      <c r="J73" s="17"/>
      <c r="K73" s="17"/>
      <c r="L73" s="61">
        <f>SUM(L69:L72)</f>
        <v>740.82983333333323</v>
      </c>
      <c r="N73" s="17"/>
      <c r="O73" s="17"/>
      <c r="P73" s="17"/>
      <c r="Q73" s="61">
        <f>SUM(Q69:Q72)</f>
        <v>683.84265384615378</v>
      </c>
      <c r="S73" s="17"/>
      <c r="T73" s="17"/>
      <c r="U73" s="17"/>
      <c r="V73" s="60">
        <f>SUM(V69:V72)</f>
        <v>691.29771243076914</v>
      </c>
    </row>
    <row r="74" spans="2:22" s="42" customFormat="1" ht="12.75" x14ac:dyDescent="0.2">
      <c r="C74" s="43"/>
      <c r="D74" s="42">
        <f>IF(Dati!A56="Importo annuo lordo (anno precedente)",1,2)</f>
        <v>2</v>
      </c>
      <c r="E74" s="37" t="s">
        <v>3</v>
      </c>
    </row>
    <row r="75" spans="2:22" s="42" customFormat="1" ht="12.75" x14ac:dyDescent="0.2">
      <c r="C75" s="43"/>
    </row>
    <row r="76" spans="2:22" s="42" customFormat="1" ht="12.75" x14ac:dyDescent="0.2">
      <c r="C76" s="43"/>
    </row>
    <row r="77" spans="2:22" s="42" customFormat="1" ht="12.75" x14ac:dyDescent="0.2">
      <c r="C77" s="43"/>
    </row>
    <row r="78" spans="2:22" s="42" customFormat="1" x14ac:dyDescent="0.25">
      <c r="B78" s="78" t="s">
        <v>17</v>
      </c>
      <c r="C78" s="43" t="s">
        <v>18</v>
      </c>
      <c r="D78" s="17" t="s">
        <v>51</v>
      </c>
    </row>
    <row r="79" spans="2:22" s="42" customFormat="1" x14ac:dyDescent="0.25">
      <c r="B79" s="78"/>
      <c r="C79" s="43" t="s">
        <v>19</v>
      </c>
      <c r="D79" s="17" t="s">
        <v>52</v>
      </c>
    </row>
    <row r="80" spans="2:22" s="42" customFormat="1" ht="12.75" x14ac:dyDescent="0.2">
      <c r="C80" s="43"/>
    </row>
    <row r="81" spans="2:19" s="42" customFormat="1" x14ac:dyDescent="0.2">
      <c r="B81" s="42" t="s">
        <v>45</v>
      </c>
      <c r="C81" s="43"/>
      <c r="D81" s="64">
        <f>IF(D74=1,D67/13,D67)</f>
        <v>35000</v>
      </c>
      <c r="F81" s="42" t="s">
        <v>46</v>
      </c>
      <c r="G81" s="43"/>
      <c r="I81" s="65">
        <f>Q62</f>
        <v>683.84265384615378</v>
      </c>
      <c r="M81" s="64"/>
      <c r="N81" s="42">
        <v>3846.1538461538462</v>
      </c>
      <c r="P81" s="42" t="s">
        <v>46</v>
      </c>
      <c r="S81" s="42">
        <v>1087.6888076923076</v>
      </c>
    </row>
    <row r="82" spans="2:19" s="42" customFormat="1" ht="12.75" x14ac:dyDescent="0.2">
      <c r="C82" s="43"/>
    </row>
    <row r="83" spans="2:19" s="42" customFormat="1" x14ac:dyDescent="0.2">
      <c r="B83" s="42" t="s">
        <v>43</v>
      </c>
      <c r="C83" s="43"/>
      <c r="D83" s="65">
        <f>M44</f>
        <v>21.300167384615385</v>
      </c>
      <c r="N83" s="42">
        <v>57.168270153846152</v>
      </c>
    </row>
    <row r="84" spans="2:19" s="42" customFormat="1" ht="12.75" x14ac:dyDescent="0.2">
      <c r="C84" s="43"/>
    </row>
    <row r="85" spans="2:19" s="42" customFormat="1" ht="12.75" customHeight="1" x14ac:dyDescent="0.2">
      <c r="B85" s="83" t="s">
        <v>50</v>
      </c>
      <c r="C85" s="43"/>
      <c r="D85" s="79">
        <f>IF(D74=1,D81+D83,D81/13+D83)</f>
        <v>2713.6078596923076</v>
      </c>
      <c r="F85" s="78" t="s">
        <v>20</v>
      </c>
      <c r="G85" s="84">
        <f>V62</f>
        <v>691.29771243076914</v>
      </c>
      <c r="H85" s="85" t="s">
        <v>98</v>
      </c>
      <c r="I85" s="84">
        <f>D85-G85+G134</f>
        <v>2062.0973481059718</v>
      </c>
      <c r="N85" s="42">
        <v>3903.3221163076923</v>
      </c>
      <c r="P85" s="42" t="s">
        <v>20</v>
      </c>
      <c r="Q85" s="42">
        <v>1112.2668638584614</v>
      </c>
      <c r="R85" s="42" t="s">
        <v>24</v>
      </c>
      <c r="S85" s="42">
        <v>2791.0552524492309</v>
      </c>
    </row>
    <row r="86" spans="2:19" s="42" customFormat="1" ht="12.75" x14ac:dyDescent="0.2">
      <c r="B86" s="83"/>
      <c r="C86" s="43"/>
      <c r="D86" s="79"/>
      <c r="F86" s="78"/>
      <c r="G86" s="84"/>
      <c r="H86" s="85"/>
      <c r="I86" s="84"/>
    </row>
    <row r="87" spans="2:19" s="42" customFormat="1" ht="12.75" x14ac:dyDescent="0.2">
      <c r="B87" s="83"/>
      <c r="C87" s="43"/>
      <c r="D87" s="79"/>
      <c r="F87" s="78"/>
      <c r="G87" s="84"/>
      <c r="H87" s="85"/>
      <c r="I87" s="84"/>
    </row>
    <row r="88" spans="2:19" s="42" customFormat="1" ht="12.75" x14ac:dyDescent="0.2">
      <c r="B88" s="83"/>
      <c r="C88" s="43"/>
      <c r="D88" s="79"/>
      <c r="F88" s="78"/>
      <c r="G88" s="84"/>
      <c r="H88" s="85"/>
      <c r="I88" s="84"/>
    </row>
    <row r="89" spans="2:19" s="42" customFormat="1" ht="12.75" x14ac:dyDescent="0.2">
      <c r="C89" s="43"/>
    </row>
    <row r="90" spans="2:19" s="42" customFormat="1" x14ac:dyDescent="0.25">
      <c r="C90" s="43"/>
      <c r="N90" s="17"/>
      <c r="O90" s="17"/>
      <c r="P90" s="17"/>
      <c r="Q90" s="17"/>
      <c r="R90" s="17"/>
    </row>
    <row r="91" spans="2:19" s="42" customFormat="1" x14ac:dyDescent="0.25">
      <c r="C91" s="43"/>
      <c r="N91" s="17"/>
      <c r="O91" s="17"/>
      <c r="P91" s="17"/>
      <c r="Q91" s="17"/>
      <c r="R91" s="17"/>
    </row>
    <row r="92" spans="2:19" s="42" customFormat="1" ht="12.75" x14ac:dyDescent="0.2">
      <c r="B92" s="78" t="s">
        <v>21</v>
      </c>
      <c r="C92" s="43"/>
      <c r="D92" s="79">
        <f>G85-I81</f>
        <v>7.4550585846153581</v>
      </c>
      <c r="N92" s="42">
        <v>24.578056166153829</v>
      </c>
    </row>
    <row r="93" spans="2:19" s="42" customFormat="1" ht="12.75" x14ac:dyDescent="0.2">
      <c r="B93" s="78"/>
      <c r="C93" s="43"/>
      <c r="D93" s="79"/>
      <c r="G93" s="66"/>
    </row>
    <row r="94" spans="2:19" s="42" customFormat="1" ht="12.75" x14ac:dyDescent="0.2">
      <c r="C94" s="43"/>
    </row>
    <row r="95" spans="2:19" s="42" customFormat="1" ht="12.75" x14ac:dyDescent="0.2">
      <c r="C95" s="43"/>
    </row>
    <row r="96" spans="2:19" s="42" customFormat="1" ht="12.75" x14ac:dyDescent="0.2">
      <c r="C96" s="43"/>
    </row>
    <row r="97" spans="2:5" s="42" customFormat="1" ht="12.75" customHeight="1" x14ac:dyDescent="0.2">
      <c r="C97" s="43"/>
    </row>
    <row r="98" spans="2:5" s="42" customFormat="1" ht="12.75" customHeight="1" x14ac:dyDescent="0.25">
      <c r="B98" s="42" t="s">
        <v>60</v>
      </c>
      <c r="C98" s="87">
        <f ca="1">TODAY()</f>
        <v>45625</v>
      </c>
      <c r="D98" s="87"/>
      <c r="E98" s="88" t="s">
        <v>2</v>
      </c>
    </row>
    <row r="99" spans="2:5" s="42" customFormat="1" ht="12.75" customHeight="1" x14ac:dyDescent="0.25">
      <c r="C99" s="89">
        <f ca="1">TODAY()</f>
        <v>45625</v>
      </c>
      <c r="D99" s="89"/>
      <c r="E99" s="88"/>
    </row>
    <row r="100" spans="2:5" s="42" customFormat="1" ht="12.75" customHeight="1" x14ac:dyDescent="0.25">
      <c r="C100" s="17"/>
      <c r="D100" s="15"/>
      <c r="E100" s="88"/>
    </row>
    <row r="101" spans="2:5" s="42" customFormat="1" x14ac:dyDescent="0.25">
      <c r="B101" s="42" t="s">
        <v>61</v>
      </c>
      <c r="C101" s="87">
        <v>45672</v>
      </c>
      <c r="D101" s="87"/>
      <c r="E101" s="88"/>
    </row>
    <row r="102" spans="2:5" s="42" customFormat="1" x14ac:dyDescent="0.25">
      <c r="C102" s="89">
        <f>C101</f>
        <v>45672</v>
      </c>
      <c r="D102" s="89"/>
      <c r="E102" s="88"/>
    </row>
    <row r="103" spans="2:5" s="42" customFormat="1" x14ac:dyDescent="0.25">
      <c r="C103" s="17"/>
      <c r="D103" s="15"/>
      <c r="E103" s="88"/>
    </row>
    <row r="104" spans="2:5" s="42" customFormat="1" x14ac:dyDescent="0.25">
      <c r="C104" s="17"/>
      <c r="D104" s="15"/>
      <c r="E104" s="88"/>
    </row>
    <row r="105" spans="2:5" s="42" customFormat="1" x14ac:dyDescent="0.25">
      <c r="C105" s="67" t="str">
        <f ca="1">IF(C99&gt;C102,"Il programma non è più utilizzabile","")</f>
        <v/>
      </c>
      <c r="D105" s="15"/>
      <c r="E105" s="88"/>
    </row>
    <row r="106" spans="2:5" s="42" customFormat="1" ht="12.75" x14ac:dyDescent="0.2">
      <c r="C106" s="43"/>
    </row>
    <row r="107" spans="2:5" s="42" customFormat="1" ht="12.75" x14ac:dyDescent="0.2">
      <c r="C107" s="43"/>
    </row>
    <row r="108" spans="2:5" s="42" customFormat="1" ht="12.75" x14ac:dyDescent="0.2">
      <c r="C108" s="43"/>
    </row>
    <row r="109" spans="2:5" s="17" customFormat="1" x14ac:dyDescent="0.25"/>
    <row r="110" spans="2:5" s="17" customFormat="1" x14ac:dyDescent="0.25"/>
    <row r="111" spans="2:5" s="17" customFormat="1" x14ac:dyDescent="0.25"/>
    <row r="112" spans="2:5" s="17" customFormat="1" x14ac:dyDescent="0.25"/>
    <row r="113" spans="2:8" s="17" customFormat="1" x14ac:dyDescent="0.25">
      <c r="B113" s="17" t="s">
        <v>66</v>
      </c>
    </row>
    <row r="114" spans="2:8" s="17" customFormat="1" x14ac:dyDescent="0.25">
      <c r="B114" s="17" t="s">
        <v>67</v>
      </c>
      <c r="C114" s="68">
        <f>D85*13</f>
        <v>35276.902175999996</v>
      </c>
    </row>
    <row r="115" spans="2:8" s="17" customFormat="1" x14ac:dyDescent="0.25">
      <c r="B115" s="17" t="s">
        <v>68</v>
      </c>
      <c r="C115" s="68">
        <v>8500</v>
      </c>
      <c r="D115" s="17" t="s">
        <v>69</v>
      </c>
      <c r="E115" s="68">
        <v>1955</v>
      </c>
      <c r="F115" s="17" t="s">
        <v>70</v>
      </c>
      <c r="G115" s="68">
        <v>713</v>
      </c>
    </row>
    <row r="116" spans="2:8" s="17" customFormat="1" x14ac:dyDescent="0.25">
      <c r="B116" s="17" t="s">
        <v>71</v>
      </c>
      <c r="C116" s="68">
        <v>28000</v>
      </c>
      <c r="D116" s="17" t="s">
        <v>72</v>
      </c>
      <c r="E116" s="68">
        <v>700</v>
      </c>
      <c r="F116" s="17" t="s">
        <v>73</v>
      </c>
      <c r="G116" s="68">
        <v>8500</v>
      </c>
    </row>
    <row r="117" spans="2:8" s="17" customFormat="1" x14ac:dyDescent="0.25">
      <c r="B117" s="17" t="s">
        <v>74</v>
      </c>
      <c r="C117" s="68">
        <v>50000</v>
      </c>
      <c r="D117" s="17" t="s">
        <v>75</v>
      </c>
      <c r="E117" s="68">
        <v>700</v>
      </c>
      <c r="F117" s="17" t="s">
        <v>76</v>
      </c>
      <c r="G117" s="68">
        <v>1255</v>
      </c>
    </row>
    <row r="118" spans="2:8" s="17" customFormat="1" x14ac:dyDescent="0.25"/>
    <row r="119" spans="2:8" s="17" customFormat="1" x14ac:dyDescent="0.25">
      <c r="B119" s="17" t="s">
        <v>77</v>
      </c>
      <c r="C119" s="69">
        <v>365</v>
      </c>
    </row>
    <row r="120" spans="2:8" s="17" customFormat="1" x14ac:dyDescent="0.25"/>
    <row r="121" spans="2:8" s="17" customFormat="1" ht="15" customHeight="1" x14ac:dyDescent="0.25">
      <c r="B121" s="17" t="s">
        <v>78</v>
      </c>
      <c r="C121" s="68">
        <v>25001</v>
      </c>
      <c r="D121" s="70"/>
      <c r="E121" s="70"/>
      <c r="F121" s="70"/>
      <c r="G121" s="70"/>
      <c r="H121" s="71"/>
    </row>
    <row r="122" spans="2:8" s="17" customFormat="1" x14ac:dyDescent="0.25">
      <c r="B122" s="17" t="s">
        <v>79</v>
      </c>
      <c r="C122" s="68">
        <v>29000</v>
      </c>
      <c r="D122" s="71"/>
      <c r="E122" s="71"/>
      <c r="F122" s="71"/>
      <c r="G122" s="71"/>
      <c r="H122" s="71"/>
    </row>
    <row r="123" spans="2:8" s="17" customFormat="1" x14ac:dyDescent="0.25">
      <c r="B123" s="17" t="s">
        <v>80</v>
      </c>
      <c r="C123" s="68">
        <v>50</v>
      </c>
      <c r="D123" s="71"/>
      <c r="E123" s="71"/>
      <c r="F123" s="71"/>
      <c r="G123" s="71"/>
      <c r="H123" s="71"/>
    </row>
    <row r="124" spans="2:8" s="17" customFormat="1" x14ac:dyDescent="0.25"/>
    <row r="125" spans="2:8" s="17" customFormat="1" x14ac:dyDescent="0.25"/>
    <row r="126" spans="2:8" s="17" customFormat="1" x14ac:dyDescent="0.25">
      <c r="B126" s="17" t="s">
        <v>81</v>
      </c>
      <c r="C126" s="72" cm="1">
        <f t="array" ref="C126">_xlfn.IFS(Reddito_pensionati&lt;=Fascia_1,Base_1,Reddito_pensionati&lt;=Fascia_2,Base_2+Molt._Fascia_2*(Fascia_2-Reddito_pensionati)/(Fascia_2-Fascia_1),Reddito_pensionati&lt;=Fascia_3,Base_2*(Fascia_3-Reddito_pensionati)/(Fascia_3-Fascia_2),Reddito_pensionati&gt;Fascia_3,0)*(giorni/365)+IF(AND(Reddito_pensionati&gt;=min._agg.,Reddito_pensionati&lt;=max._agg.),aggiuntiva,0)</f>
        <v>468.46220349090919</v>
      </c>
    </row>
    <row r="127" spans="2:8" s="17" customFormat="1" x14ac:dyDescent="0.25"/>
    <row r="128" spans="2:8" s="17" customFormat="1" x14ac:dyDescent="0.25">
      <c r="B128" s="17" t="s">
        <v>82</v>
      </c>
      <c r="C128" s="68">
        <f>VLOOKUP(giorni+30,E134:G145,3)</f>
        <v>39.787200844433379</v>
      </c>
    </row>
    <row r="129" spans="2:8" s="17" customFormat="1" x14ac:dyDescent="0.25">
      <c r="B129" s="16"/>
      <c r="C129" s="16"/>
      <c r="D129" s="16"/>
      <c r="E129" s="16"/>
      <c r="F129" s="16"/>
      <c r="G129" s="16"/>
      <c r="H129" s="16"/>
    </row>
    <row r="130" spans="2:8" s="17" customFormat="1" x14ac:dyDescent="0.25">
      <c r="B130" s="16"/>
      <c r="C130" s="16"/>
      <c r="D130" s="16"/>
      <c r="E130" s="16"/>
      <c r="F130" s="16"/>
      <c r="G130" s="16"/>
      <c r="H130" s="16"/>
    </row>
    <row r="131" spans="2:8" s="17" customFormat="1" x14ac:dyDescent="0.25">
      <c r="B131" s="16"/>
      <c r="C131" s="16"/>
      <c r="D131" s="16"/>
      <c r="E131" s="16"/>
      <c r="F131" s="16"/>
      <c r="G131" s="16"/>
      <c r="H131" s="16"/>
    </row>
    <row r="132" spans="2:8" s="17" customFormat="1" x14ac:dyDescent="0.25"/>
    <row r="133" spans="2:8" s="17" customFormat="1" x14ac:dyDescent="0.25">
      <c r="C133" s="73" t="s">
        <v>83</v>
      </c>
      <c r="D133" s="73"/>
      <c r="E133" s="73"/>
      <c r="F133" s="73"/>
      <c r="G133" s="19"/>
    </row>
    <row r="134" spans="2:8" s="17" customFormat="1" x14ac:dyDescent="0.25">
      <c r="C134" s="19" t="s">
        <v>84</v>
      </c>
      <c r="D134" s="20">
        <v>31</v>
      </c>
      <c r="E134" s="19">
        <v>31</v>
      </c>
      <c r="F134" s="74">
        <f>C126</f>
        <v>468.46220349090919</v>
      </c>
      <c r="G134" s="74">
        <f>$E$147*D134</f>
        <v>39.787200844433379</v>
      </c>
    </row>
    <row r="135" spans="2:8" s="17" customFormat="1" x14ac:dyDescent="0.25">
      <c r="C135" s="19" t="s">
        <v>85</v>
      </c>
      <c r="D135" s="19">
        <v>28</v>
      </c>
      <c r="E135" s="20">
        <f>SUM($D$134:D135)</f>
        <v>59</v>
      </c>
      <c r="F135" s="75"/>
      <c r="G135" s="74">
        <f t="shared" ref="G135:G145" si="7">$E$147*D135</f>
        <v>35.936826569165632</v>
      </c>
    </row>
    <row r="136" spans="2:8" s="17" customFormat="1" x14ac:dyDescent="0.25">
      <c r="C136" s="19" t="s">
        <v>86</v>
      </c>
      <c r="D136" s="19">
        <v>31</v>
      </c>
      <c r="E136" s="20">
        <f>SUM($D$134:D136)</f>
        <v>90</v>
      </c>
      <c r="F136" s="75"/>
      <c r="G136" s="74">
        <f t="shared" si="7"/>
        <v>39.787200844433379</v>
      </c>
    </row>
    <row r="137" spans="2:8" s="17" customFormat="1" x14ac:dyDescent="0.25">
      <c r="C137" s="19" t="s">
        <v>87</v>
      </c>
      <c r="D137" s="19">
        <v>30</v>
      </c>
      <c r="E137" s="20">
        <f>SUM($D$134:D137)</f>
        <v>120</v>
      </c>
      <c r="F137" s="75"/>
      <c r="G137" s="74">
        <f t="shared" si="7"/>
        <v>38.503742752677468</v>
      </c>
    </row>
    <row r="138" spans="2:8" s="17" customFormat="1" x14ac:dyDescent="0.25">
      <c r="C138" s="19" t="s">
        <v>88</v>
      </c>
      <c r="D138" s="19">
        <v>31</v>
      </c>
      <c r="E138" s="20">
        <f>SUM($D$134:D138)</f>
        <v>151</v>
      </c>
      <c r="F138" s="75"/>
      <c r="G138" s="74">
        <f t="shared" si="7"/>
        <v>39.787200844433379</v>
      </c>
    </row>
    <row r="139" spans="2:8" s="17" customFormat="1" x14ac:dyDescent="0.25">
      <c r="C139" s="19" t="s">
        <v>89</v>
      </c>
      <c r="D139" s="19">
        <v>30</v>
      </c>
      <c r="E139" s="20">
        <f>SUM($D$134:D139)</f>
        <v>181</v>
      </c>
      <c r="F139" s="75"/>
      <c r="G139" s="74">
        <f t="shared" si="7"/>
        <v>38.503742752677468</v>
      </c>
    </row>
    <row r="140" spans="2:8" s="17" customFormat="1" x14ac:dyDescent="0.25">
      <c r="C140" s="19" t="s">
        <v>90</v>
      </c>
      <c r="D140" s="19">
        <v>31</v>
      </c>
      <c r="E140" s="20">
        <f>SUM($D$134:D140)</f>
        <v>212</v>
      </c>
      <c r="F140" s="75"/>
      <c r="G140" s="74">
        <f t="shared" si="7"/>
        <v>39.787200844433379</v>
      </c>
    </row>
    <row r="141" spans="2:8" s="17" customFormat="1" x14ac:dyDescent="0.25">
      <c r="C141" s="19" t="s">
        <v>91</v>
      </c>
      <c r="D141" s="19">
        <v>31</v>
      </c>
      <c r="E141" s="20">
        <f>SUM($D$134:D141)</f>
        <v>243</v>
      </c>
      <c r="F141" s="75"/>
      <c r="G141" s="74">
        <f t="shared" si="7"/>
        <v>39.787200844433379</v>
      </c>
    </row>
    <row r="142" spans="2:8" s="17" customFormat="1" x14ac:dyDescent="0.25">
      <c r="C142" s="19" t="s">
        <v>92</v>
      </c>
      <c r="D142" s="19">
        <v>30</v>
      </c>
      <c r="E142" s="20">
        <f>SUM($D$134:D142)</f>
        <v>273</v>
      </c>
      <c r="F142" s="75"/>
      <c r="G142" s="74">
        <f t="shared" si="7"/>
        <v>38.503742752677468</v>
      </c>
    </row>
    <row r="143" spans="2:8" s="17" customFormat="1" x14ac:dyDescent="0.25">
      <c r="C143" s="19" t="s">
        <v>93</v>
      </c>
      <c r="D143" s="19">
        <v>31</v>
      </c>
      <c r="E143" s="20">
        <f>SUM($D$134:D143)</f>
        <v>304</v>
      </c>
      <c r="F143" s="75"/>
      <c r="G143" s="74">
        <f t="shared" si="7"/>
        <v>39.787200844433379</v>
      </c>
    </row>
    <row r="144" spans="2:8" s="17" customFormat="1" x14ac:dyDescent="0.25">
      <c r="C144" s="19" t="s">
        <v>94</v>
      </c>
      <c r="D144" s="19">
        <v>30</v>
      </c>
      <c r="E144" s="20">
        <f>SUM($D$134:D144)</f>
        <v>334</v>
      </c>
      <c r="F144" s="75"/>
      <c r="G144" s="74">
        <f t="shared" si="7"/>
        <v>38.503742752677468</v>
      </c>
    </row>
    <row r="145" spans="3:7" s="17" customFormat="1" x14ac:dyDescent="0.25">
      <c r="C145" s="19" t="s">
        <v>95</v>
      </c>
      <c r="D145" s="19">
        <v>31</v>
      </c>
      <c r="E145" s="20">
        <f>SUM($D$134:D145)</f>
        <v>365</v>
      </c>
      <c r="F145" s="75"/>
      <c r="G145" s="74">
        <f t="shared" si="7"/>
        <v>39.787200844433379</v>
      </c>
    </row>
    <row r="146" spans="3:7" s="17" customFormat="1" x14ac:dyDescent="0.25">
      <c r="C146" s="19"/>
      <c r="D146" s="19"/>
      <c r="E146" s="19"/>
      <c r="F146" s="19"/>
      <c r="G146" s="19"/>
    </row>
    <row r="147" spans="3:7" s="17" customFormat="1" x14ac:dyDescent="0.25">
      <c r="C147" s="19"/>
      <c r="D147" s="20">
        <f>SUM(D134:D145)</f>
        <v>365</v>
      </c>
      <c r="E147" s="19">
        <f>F134/D147</f>
        <v>1.2834580917559155</v>
      </c>
      <c r="F147" s="19"/>
      <c r="G147" s="19"/>
    </row>
    <row r="148" spans="3:7" s="17" customFormat="1" x14ac:dyDescent="0.25"/>
    <row r="149" spans="3:7" s="17" customFormat="1" x14ac:dyDescent="0.25"/>
    <row r="150" spans="3:7" s="17" customFormat="1" x14ac:dyDescent="0.25"/>
    <row r="151" spans="3:7" s="17" customFormat="1" x14ac:dyDescent="0.25"/>
    <row r="152" spans="3:7" s="17" customFormat="1" x14ac:dyDescent="0.25"/>
    <row r="153" spans="3:7" s="17" customFormat="1" x14ac:dyDescent="0.25"/>
    <row r="154" spans="3:7" s="17" customFormat="1" x14ac:dyDescent="0.25"/>
    <row r="155" spans="3:7" s="17" customFormat="1" x14ac:dyDescent="0.25"/>
    <row r="156" spans="3:7" s="17" customFormat="1" x14ac:dyDescent="0.25"/>
    <row r="157" spans="3:7" s="17" customFormat="1" x14ac:dyDescent="0.25"/>
    <row r="158" spans="3:7" s="17" customFormat="1" x14ac:dyDescent="0.25"/>
    <row r="159" spans="3:7" s="17" customFormat="1" x14ac:dyDescent="0.25"/>
    <row r="160" spans="3:7"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sheetData>
  <sheetProtection algorithmName="SHA-512" hashValue="qwdOtP9HvfNcmnxdUehuGvLIP3lW+oRC299G49NjVdTT3T/MOrUVjnFSYhVCJth4uudXBBHeDJiho3+WwrHjKQ==" saltValue="S0/hWmJmevWUdJ/qijd3lA==" spinCount="100000" sheet="1" objects="1" scenarios="1" selectLockedCells="1"/>
  <mergeCells count="57">
    <mergeCell ref="A1:B1"/>
    <mergeCell ref="B30:R30"/>
    <mergeCell ref="C34:G34"/>
    <mergeCell ref="H34:I34"/>
    <mergeCell ref="C35:G35"/>
    <mergeCell ref="H35:I35"/>
    <mergeCell ref="G37:I37"/>
    <mergeCell ref="K37:N37"/>
    <mergeCell ref="P37:Q37"/>
    <mergeCell ref="C38:F39"/>
    <mergeCell ref="G38:I39"/>
    <mergeCell ref="K38:K39"/>
    <mergeCell ref="L38:L39"/>
    <mergeCell ref="M38:N39"/>
    <mergeCell ref="P38:Q39"/>
    <mergeCell ref="P40:Q41"/>
    <mergeCell ref="C42:F43"/>
    <mergeCell ref="G42:I43"/>
    <mergeCell ref="K42:K43"/>
    <mergeCell ref="L42:L43"/>
    <mergeCell ref="M42:N43"/>
    <mergeCell ref="P42:Q43"/>
    <mergeCell ref="C40:F41"/>
    <mergeCell ref="G40:I41"/>
    <mergeCell ref="K40:K41"/>
    <mergeCell ref="L40:L41"/>
    <mergeCell ref="M40:N41"/>
    <mergeCell ref="H50:J50"/>
    <mergeCell ref="C65:G65"/>
    <mergeCell ref="H65:L65"/>
    <mergeCell ref="N65:Q65"/>
    <mergeCell ref="C44:F45"/>
    <mergeCell ref="G44:I45"/>
    <mergeCell ref="K44:K45"/>
    <mergeCell ref="L44:L45"/>
    <mergeCell ref="M44:N45"/>
    <mergeCell ref="C98:D98"/>
    <mergeCell ref="E98:E105"/>
    <mergeCell ref="C99:D99"/>
    <mergeCell ref="C101:D101"/>
    <mergeCell ref="C102:D102"/>
    <mergeCell ref="S38:S39"/>
    <mergeCell ref="S40:S41"/>
    <mergeCell ref="S42:S43"/>
    <mergeCell ref="B92:B93"/>
    <mergeCell ref="D92:D93"/>
    <mergeCell ref="S65:V65"/>
    <mergeCell ref="C66:G66"/>
    <mergeCell ref="H66:L66"/>
    <mergeCell ref="B78:B79"/>
    <mergeCell ref="B85:B88"/>
    <mergeCell ref="D85:D88"/>
    <mergeCell ref="F85:F88"/>
    <mergeCell ref="G85:G88"/>
    <mergeCell ref="H85:H88"/>
    <mergeCell ref="I85:I88"/>
    <mergeCell ref="P44:Q45"/>
  </mergeCells>
  <conditionalFormatting sqref="R33:R34">
    <cfRule type="expression" dxfId="1" priority="1">
      <formula>IF(R33="O",TRUE,FALSE)</formula>
    </cfRule>
    <cfRule type="expression" dxfId="0" priority="2">
      <formula>IF(R33="P",TRUE,FALSE)</formula>
    </cfRule>
  </conditionalFormatting>
  <dataValidations count="4">
    <dataValidation type="decimal" allowBlank="1" showInputMessage="1" showErrorMessage="1" errorTitle="Errore" error="Digitare un importo valido." sqref="G38:H38 G40:H40 G42:H42 G44:H44 M38 M40 M42 M44 P38 P42 P40 P44 H34" xr:uid="{0CF3DCE9-846C-4C12-9AB6-DB7CBBC23591}">
      <formula1>0</formula1>
      <formula2>1000000000</formula2>
    </dataValidation>
    <dataValidation type="decimal" allowBlank="1" showInputMessage="1" showErrorMessage="1" errorTitle="Errore" error="Digitare una percentuale valida." sqref="H35" xr:uid="{6B5B676E-A8EB-4B6B-99EC-34565D77C4B0}">
      <formula1>0</formula1>
      <formula2>1</formula2>
    </dataValidation>
    <dataValidation allowBlank="1" showInputMessage="1" showErrorMessage="1" promptTitle="Calcolo IRPEF" prompt="inserire un reddito imponibile" sqref="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WVQ55 D55 IZ55 SV55 ACR55 AMN55 AWJ55 BGF55 BQB55 BZX55 CJT55 CTP55 DDL55 DNH55 DXD55 EGZ55 EQV55 FAR55 FKN55 FUJ55 GEF55 GOB55 GXX55 HHT55 HRP55 IBL55 ILH55 IVD55 JEZ55 JOV55 JYR55 KIN55 KSJ55 LCF55 LMB55 LVX55 MFT55 MPP55 MZL55 NJH55 NTD55 OCZ55 OMV55 OWR55 PGN55 PQJ55 QAF55 QKB55 QTX55 RDT55 RNP55 RXL55 SHH55 SRD55 TAZ55 TKV55 TUR55 UEN55 UOJ55 UYF55 VIB55 VRX55 WBT55 WLP55 WVL55 N55 JJ55 TF55 ADB55 AMX55 AWT55 BGP55 BQL55 CAH55 CKD55 CTZ55 DDV55 DNR55 DXN55 EHJ55 ERF55 FBB55 FKX55 FUT55 GEP55 GOL55 GYH55 HID55 HRZ55 IBV55 ILR55 IVN55 JFJ55 JPF55 JZB55 KIX55 KST55 LCP55 LML55 LWH55 MGD55 MPZ55 MZV55 NJR55 NTN55 ODJ55 ONF55 OXB55 PGX55 PQT55 QAP55 QKL55 QUH55 RED55 RNZ55 RXV55 SHR55 SRN55 TBJ55 TLF55 TVB55 UEX55 UOT55 UYP55 VIL55 VSH55 WCD55 WLZ55 WVV55 J57:J59 JF57:JF59 TB57:TB59 ACX57:ACX59 AMT57:AMT59 AWP57:AWP59 BGL57:BGL59 BQH57:BQH59 CAD57:CAD59 CJZ57:CJZ59 CTV57:CTV59 DDR57:DDR59 DNN57:DNN59 DXJ57:DXJ59 EHF57:EHF59 ERB57:ERB59 FAX57:FAX59 FKT57:FKT59 FUP57:FUP59 GEL57:GEL59 GOH57:GOH59 GYD57:GYD59 HHZ57:HHZ59 HRV57:HRV59 IBR57:IBR59 ILN57:ILN59 IVJ57:IVJ59 JFF57:JFF59 JPB57:JPB59 JYX57:JYX59 KIT57:KIT59 KSP57:KSP59 LCL57:LCL59 LMH57:LMH59 LWD57:LWD59 MFZ57:MFZ59 MPV57:MPV59 MZR57:MZR59 NJN57:NJN59 NTJ57:NTJ59 ODF57:ODF59 ONB57:ONB59 OWX57:OWX59 PGT57:PGT59 PQP57:PQP59 QAL57:QAL59 QKH57:QKH59 QUD57:QUD59 RDZ57:RDZ59 RNV57:RNV59 RXR57:RXR59 SHN57:SHN59 SRJ57:SRJ59 TBF57:TBF59 TLB57:TLB59 TUX57:TUX59 UET57:UET59 UOP57:UOP59 UYL57:UYL59 VIH57:VIH59 VSD57:VSD59 WBZ57:WBZ59 WLV57:WLV59 WVR57:WVR59 I58:I59 JE58:JE59 TA58:TA59 ACW58:ACW59 AMS58:AMS59 AWO58:AWO59 BGK58:BGK59 BQG58:BQG59 CAC58:CAC59 CJY58:CJY59 CTU58:CTU59 DDQ58:DDQ59 DNM58:DNM59 DXI58:DXI59 EHE58:EHE59 ERA58:ERA59 FAW58:FAW59 FKS58:FKS59 FUO58:FUO59 GEK58:GEK59 GOG58:GOG59 GYC58:GYC59 HHY58:HHY59 HRU58:HRU59 IBQ58:IBQ59 ILM58:ILM59 IVI58:IVI59 JFE58:JFE59 JPA58:JPA59 JYW58:JYW59 KIS58:KIS59 KSO58:KSO59 LCK58:LCK59 LMG58:LMG59 LWC58:LWC59 MFY58:MFY59 MPU58:MPU59 MZQ58:MZQ59 NJM58:NJM59 NTI58:NTI59 ODE58:ODE59 ONA58:ONA59 OWW58:OWW59 PGS58:PGS59 PQO58:PQO59 QAK58:QAK59 QKG58:QKG59 QUC58:QUC59 RDY58:RDY59 RNU58:RNU59 RXQ58:RXQ59 SHM58:SHM59 SRI58:SRI59 TBE58:TBE59 TLA58:TLA59 TUW58:TUW59 UES58:UES59 UOO58:UOO59 UYK58:UYK59 VIG58:VIG59 VSC58:VSC59 WBY58:WBY59 WLU58:WLU59 WVQ58:WVQ59 S55" xr:uid="{4615FEE9-B1D6-4EDB-B06B-23013DBB0F18}"/>
    <dataValidation type="list" allowBlank="1" showInputMessage="1" showErrorMessage="1" sqref="A3" xr:uid="{E59EB44A-E1A0-4F4A-BF14-3B48D6F650C6}">
      <formula1>$D$78:$D$79</formula1>
    </dataValidation>
  </dataValidations>
  <pageMargins left="0.7" right="0.7" top="0.75" bottom="0.75" header="0.3" footer="0.3"/>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14</vt:i4>
      </vt:variant>
    </vt:vector>
  </HeadingPairs>
  <TitlesOfParts>
    <vt:vector size="15" baseType="lpstr">
      <vt:lpstr>Dati</vt:lpstr>
      <vt:lpstr>aggiuntiva</vt:lpstr>
      <vt:lpstr>Base_1</vt:lpstr>
      <vt:lpstr>Base_2</vt:lpstr>
      <vt:lpstr>Detr.min.</vt:lpstr>
      <vt:lpstr>Fascia_1</vt:lpstr>
      <vt:lpstr>Fascia_2</vt:lpstr>
      <vt:lpstr>Fascia_3</vt:lpstr>
      <vt:lpstr>giorni</vt:lpstr>
      <vt:lpstr>max._agg.</vt:lpstr>
      <vt:lpstr>min._agg.</vt:lpstr>
      <vt:lpstr>Molt._Fascia_2</vt:lpstr>
      <vt:lpstr>Progressivo</vt:lpstr>
      <vt:lpstr>Reddito_min.</vt:lpstr>
      <vt:lpstr>Reddito_pensionati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dc:creator>
  <cp:lastModifiedBy>Roberto</cp:lastModifiedBy>
  <dcterms:created xsi:type="dcterms:W3CDTF">2022-09-19T09:52:21Z</dcterms:created>
  <dcterms:modified xsi:type="dcterms:W3CDTF">2024-11-29T09:11:57Z</dcterms:modified>
</cp:coreProperties>
</file>